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5600" windowHeight="14720" tabRatio="500" firstSheet="2" activeTab="2"/>
  </bookViews>
  <sheets>
    <sheet name="Hoja1" sheetId="1" state="hidden" r:id="rId1"/>
    <sheet name="Hoja2" sheetId="2" state="hidden" r:id="rId2"/>
    <sheet name="Flujo de Caja" sheetId="3" r:id="rId3"/>
    <sheet name="Hoja4" sheetId="4" state="hidden" r:id="rId4"/>
    <sheet name="Hoja5" sheetId="5" state="hidden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3" l="1"/>
  <c r="J27" i="3"/>
  <c r="K27" i="3"/>
  <c r="L27" i="3"/>
  <c r="M27" i="3"/>
  <c r="N27" i="3"/>
  <c r="D23" i="5"/>
  <c r="E4" i="5"/>
  <c r="O4" i="3"/>
  <c r="P4" i="3"/>
  <c r="Q4" i="3"/>
  <c r="R4" i="3"/>
  <c r="S4" i="3"/>
  <c r="T4" i="3"/>
  <c r="U4" i="3"/>
  <c r="V4" i="3"/>
  <c r="W4" i="3"/>
  <c r="X4" i="3"/>
  <c r="Y4" i="3"/>
  <c r="Z4" i="3"/>
  <c r="E5" i="5"/>
  <c r="O5" i="3"/>
  <c r="P5" i="3"/>
  <c r="Q5" i="3"/>
  <c r="R5" i="3"/>
  <c r="S5" i="3"/>
  <c r="T5" i="3"/>
  <c r="U5" i="3"/>
  <c r="V5" i="3"/>
  <c r="W5" i="3"/>
  <c r="X5" i="3"/>
  <c r="Y5" i="3"/>
  <c r="Z5" i="3"/>
  <c r="E6" i="5"/>
  <c r="O6" i="3"/>
  <c r="P6" i="3"/>
  <c r="Q6" i="3"/>
  <c r="R6" i="3"/>
  <c r="S6" i="3"/>
  <c r="T6" i="3"/>
  <c r="U6" i="3"/>
  <c r="V6" i="3"/>
  <c r="W6" i="3"/>
  <c r="X6" i="3"/>
  <c r="Y6" i="3"/>
  <c r="Z6" i="3"/>
  <c r="E7" i="5"/>
  <c r="O7" i="3"/>
  <c r="P7" i="3"/>
  <c r="Q7" i="3"/>
  <c r="R7" i="3"/>
  <c r="S7" i="3"/>
  <c r="T7" i="3"/>
  <c r="U7" i="3"/>
  <c r="V7" i="3"/>
  <c r="W7" i="3"/>
  <c r="X7" i="3"/>
  <c r="Y7" i="3"/>
  <c r="Z7" i="3"/>
  <c r="E8" i="5"/>
  <c r="O8" i="3"/>
  <c r="P8" i="3"/>
  <c r="Q8" i="3"/>
  <c r="R8" i="3"/>
  <c r="S8" i="3"/>
  <c r="T8" i="3"/>
  <c r="U8" i="3"/>
  <c r="V8" i="3"/>
  <c r="W8" i="3"/>
  <c r="X8" i="3"/>
  <c r="Y8" i="3"/>
  <c r="Z8" i="3"/>
  <c r="E9" i="5"/>
  <c r="O9" i="3"/>
  <c r="P9" i="3"/>
  <c r="Q9" i="3"/>
  <c r="R9" i="3"/>
  <c r="S9" i="3"/>
  <c r="T9" i="3"/>
  <c r="U9" i="3"/>
  <c r="V9" i="3"/>
  <c r="W9" i="3"/>
  <c r="X9" i="3"/>
  <c r="Y9" i="3"/>
  <c r="Z9" i="3"/>
  <c r="E10" i="5"/>
  <c r="O10" i="3"/>
  <c r="P10" i="3"/>
  <c r="Q10" i="3"/>
  <c r="R10" i="3"/>
  <c r="S10" i="3"/>
  <c r="T10" i="3"/>
  <c r="U10" i="3"/>
  <c r="V10" i="3"/>
  <c r="W10" i="3"/>
  <c r="X10" i="3"/>
  <c r="Y10" i="3"/>
  <c r="Z10" i="3"/>
  <c r="E11" i="5"/>
  <c r="O11" i="3"/>
  <c r="P11" i="3"/>
  <c r="Q11" i="3"/>
  <c r="R11" i="3"/>
  <c r="S11" i="3"/>
  <c r="T11" i="3"/>
  <c r="U11" i="3"/>
  <c r="V11" i="3"/>
  <c r="W11" i="3"/>
  <c r="X11" i="3"/>
  <c r="Y11" i="3"/>
  <c r="Z11" i="3"/>
  <c r="E12" i="5"/>
  <c r="O12" i="3"/>
  <c r="P12" i="3"/>
  <c r="Q12" i="3"/>
  <c r="R12" i="3"/>
  <c r="S12" i="3"/>
  <c r="T12" i="3"/>
  <c r="U12" i="3"/>
  <c r="V12" i="3"/>
  <c r="W12" i="3"/>
  <c r="X12" i="3"/>
  <c r="Y12" i="3"/>
  <c r="Z12" i="3"/>
  <c r="E13" i="5"/>
  <c r="E3" i="5"/>
  <c r="O17" i="3"/>
  <c r="P17" i="3"/>
  <c r="Q17" i="3"/>
  <c r="R17" i="3"/>
  <c r="S17" i="3"/>
  <c r="T17" i="3"/>
  <c r="U17" i="3"/>
  <c r="V17" i="3"/>
  <c r="W17" i="3"/>
  <c r="X17" i="3"/>
  <c r="Y17" i="3"/>
  <c r="Z17" i="3"/>
  <c r="E16" i="5"/>
  <c r="O18" i="3"/>
  <c r="P18" i="3"/>
  <c r="Q18" i="3"/>
  <c r="R18" i="3"/>
  <c r="S18" i="3"/>
  <c r="T18" i="3"/>
  <c r="U18" i="3"/>
  <c r="V18" i="3"/>
  <c r="W18" i="3"/>
  <c r="X18" i="3"/>
  <c r="Y18" i="3"/>
  <c r="Z18" i="3"/>
  <c r="E17" i="5"/>
  <c r="E18" i="5"/>
  <c r="O21" i="3"/>
  <c r="P21" i="3"/>
  <c r="Q21" i="3"/>
  <c r="R21" i="3"/>
  <c r="S21" i="3"/>
  <c r="T21" i="3"/>
  <c r="U21" i="3"/>
  <c r="V21" i="3"/>
  <c r="W21" i="3"/>
  <c r="X21" i="3"/>
  <c r="Y21" i="3"/>
  <c r="Z21" i="3"/>
  <c r="E19" i="5"/>
  <c r="E20" i="5"/>
  <c r="O25" i="3"/>
  <c r="P25" i="3"/>
  <c r="Q25" i="3"/>
  <c r="R25" i="3"/>
  <c r="S25" i="3"/>
  <c r="T25" i="3"/>
  <c r="U25" i="3"/>
  <c r="V25" i="3"/>
  <c r="W25" i="3"/>
  <c r="X25" i="3"/>
  <c r="Y25" i="3"/>
  <c r="Z25" i="3"/>
  <c r="E21" i="5"/>
  <c r="E22" i="5"/>
  <c r="O27" i="3"/>
  <c r="P27" i="3"/>
  <c r="Q27" i="3"/>
  <c r="R27" i="3"/>
  <c r="S27" i="3"/>
  <c r="T27" i="3"/>
  <c r="U27" i="3"/>
  <c r="V27" i="3"/>
  <c r="W27" i="3"/>
  <c r="X27" i="3"/>
  <c r="Y27" i="3"/>
  <c r="Z27" i="3"/>
  <c r="E23" i="5"/>
  <c r="E15" i="5"/>
  <c r="E25" i="5"/>
  <c r="E26" i="5"/>
  <c r="E27" i="5"/>
  <c r="E28" i="5"/>
  <c r="C4" i="3"/>
  <c r="D4" i="3"/>
  <c r="E4" i="3"/>
  <c r="F4" i="3"/>
  <c r="G4" i="3"/>
  <c r="H4" i="3"/>
  <c r="I4" i="3"/>
  <c r="J4" i="3"/>
  <c r="K4" i="3"/>
  <c r="L4" i="3"/>
  <c r="M4" i="3"/>
  <c r="N4" i="3"/>
  <c r="D5" i="5"/>
  <c r="C5" i="3"/>
  <c r="D5" i="3"/>
  <c r="E5" i="3"/>
  <c r="F5" i="3"/>
  <c r="G5" i="3"/>
  <c r="H5" i="3"/>
  <c r="I5" i="3"/>
  <c r="J5" i="3"/>
  <c r="K5" i="3"/>
  <c r="L5" i="3"/>
  <c r="M5" i="3"/>
  <c r="N5" i="3"/>
  <c r="D6" i="5"/>
  <c r="C6" i="3"/>
  <c r="D6" i="3"/>
  <c r="E6" i="3"/>
  <c r="F6" i="3"/>
  <c r="G6" i="3"/>
  <c r="H6" i="3"/>
  <c r="I6" i="3"/>
  <c r="J6" i="3"/>
  <c r="K6" i="3"/>
  <c r="L6" i="3"/>
  <c r="M6" i="3"/>
  <c r="N6" i="3"/>
  <c r="D7" i="5"/>
  <c r="C7" i="3"/>
  <c r="D7" i="3"/>
  <c r="E7" i="3"/>
  <c r="F7" i="3"/>
  <c r="G7" i="3"/>
  <c r="H7" i="3"/>
  <c r="I7" i="3"/>
  <c r="J7" i="3"/>
  <c r="K7" i="3"/>
  <c r="L7" i="3"/>
  <c r="M7" i="3"/>
  <c r="N7" i="3"/>
  <c r="D8" i="5"/>
  <c r="C8" i="3"/>
  <c r="D8" i="3"/>
  <c r="E8" i="3"/>
  <c r="F8" i="3"/>
  <c r="G8" i="3"/>
  <c r="H8" i="3"/>
  <c r="I8" i="3"/>
  <c r="J8" i="3"/>
  <c r="K8" i="3"/>
  <c r="L8" i="3"/>
  <c r="M8" i="3"/>
  <c r="N8" i="3"/>
  <c r="D9" i="5"/>
  <c r="C9" i="3"/>
  <c r="D9" i="3"/>
  <c r="E9" i="3"/>
  <c r="F9" i="3"/>
  <c r="G9" i="3"/>
  <c r="H9" i="3"/>
  <c r="I9" i="3"/>
  <c r="J9" i="3"/>
  <c r="K9" i="3"/>
  <c r="L9" i="3"/>
  <c r="M9" i="3"/>
  <c r="N9" i="3"/>
  <c r="D10" i="5"/>
  <c r="C10" i="3"/>
  <c r="D10" i="3"/>
  <c r="E10" i="3"/>
  <c r="F10" i="3"/>
  <c r="G10" i="3"/>
  <c r="H10" i="3"/>
  <c r="I10" i="3"/>
  <c r="J10" i="3"/>
  <c r="K10" i="3"/>
  <c r="L10" i="3"/>
  <c r="M10" i="3"/>
  <c r="N10" i="3"/>
  <c r="D11" i="5"/>
  <c r="C11" i="3"/>
  <c r="D11" i="3"/>
  <c r="E11" i="3"/>
  <c r="F11" i="3"/>
  <c r="G11" i="3"/>
  <c r="H11" i="3"/>
  <c r="I11" i="3"/>
  <c r="J11" i="3"/>
  <c r="K11" i="3"/>
  <c r="L11" i="3"/>
  <c r="M11" i="3"/>
  <c r="N11" i="3"/>
  <c r="D12" i="5"/>
  <c r="C12" i="3"/>
  <c r="D12" i="3"/>
  <c r="E12" i="3"/>
  <c r="F12" i="3"/>
  <c r="G12" i="3"/>
  <c r="H12" i="3"/>
  <c r="I12" i="3"/>
  <c r="J12" i="3"/>
  <c r="K12" i="3"/>
  <c r="L12" i="3"/>
  <c r="M12" i="3"/>
  <c r="N12" i="3"/>
  <c r="D13" i="5"/>
  <c r="D3" i="5"/>
  <c r="C17" i="3"/>
  <c r="D17" i="3"/>
  <c r="E17" i="3"/>
  <c r="F17" i="3"/>
  <c r="G17" i="3"/>
  <c r="H17" i="3"/>
  <c r="I17" i="3"/>
  <c r="J17" i="3"/>
  <c r="K17" i="3"/>
  <c r="L17" i="3"/>
  <c r="M17" i="3"/>
  <c r="N17" i="3"/>
  <c r="D16" i="5"/>
  <c r="C18" i="3"/>
  <c r="D18" i="3"/>
  <c r="E18" i="3"/>
  <c r="F18" i="3"/>
  <c r="G18" i="3"/>
  <c r="H18" i="3"/>
  <c r="I18" i="3"/>
  <c r="J18" i="3"/>
  <c r="K18" i="3"/>
  <c r="L18" i="3"/>
  <c r="M18" i="3"/>
  <c r="N18" i="3"/>
  <c r="D17" i="5"/>
  <c r="D18" i="5"/>
  <c r="C21" i="3"/>
  <c r="D21" i="3"/>
  <c r="E21" i="3"/>
  <c r="F21" i="3"/>
  <c r="G21" i="3"/>
  <c r="H21" i="3"/>
  <c r="I21" i="3"/>
  <c r="J21" i="3"/>
  <c r="K21" i="3"/>
  <c r="L21" i="3"/>
  <c r="M21" i="3"/>
  <c r="N21" i="3"/>
  <c r="D19" i="5"/>
  <c r="D20" i="5"/>
  <c r="C25" i="3"/>
  <c r="D25" i="3"/>
  <c r="E25" i="3"/>
  <c r="F25" i="3"/>
  <c r="G25" i="3"/>
  <c r="H25" i="3"/>
  <c r="I25" i="3"/>
  <c r="J25" i="3"/>
  <c r="K25" i="3"/>
  <c r="L25" i="3"/>
  <c r="M25" i="3"/>
  <c r="N25" i="3"/>
  <c r="D21" i="5"/>
  <c r="D22" i="5"/>
  <c r="D15" i="5"/>
  <c r="D25" i="5"/>
  <c r="D26" i="5"/>
  <c r="D27" i="5"/>
  <c r="D28" i="5"/>
  <c r="C28" i="5"/>
  <c r="B3" i="3"/>
  <c r="C4" i="5"/>
  <c r="C3" i="5"/>
  <c r="C27" i="3"/>
  <c r="C28" i="3"/>
  <c r="C14" i="3"/>
  <c r="C2" i="3"/>
  <c r="C31" i="3"/>
  <c r="C32" i="3"/>
  <c r="C33" i="3"/>
  <c r="D27" i="3"/>
  <c r="D28" i="3"/>
  <c r="D14" i="3"/>
  <c r="D2" i="3"/>
  <c r="D31" i="3"/>
  <c r="D32" i="3"/>
  <c r="D33" i="3"/>
  <c r="E27" i="3"/>
  <c r="E28" i="3"/>
  <c r="E14" i="3"/>
  <c r="E2" i="3"/>
  <c r="E31" i="3"/>
  <c r="E32" i="3"/>
  <c r="E33" i="3"/>
  <c r="F27" i="3"/>
  <c r="F28" i="3"/>
  <c r="F14" i="3"/>
  <c r="F2" i="3"/>
  <c r="F31" i="3"/>
  <c r="F32" i="3"/>
  <c r="F33" i="3"/>
  <c r="G27" i="3"/>
  <c r="G28" i="3"/>
  <c r="G14" i="3"/>
  <c r="G2" i="3"/>
  <c r="G31" i="3"/>
  <c r="G32" i="3"/>
  <c r="G33" i="3"/>
  <c r="H27" i="3"/>
  <c r="H28" i="3"/>
  <c r="H14" i="3"/>
  <c r="H2" i="3"/>
  <c r="H31" i="3"/>
  <c r="H32" i="3"/>
  <c r="H33" i="3"/>
  <c r="I14" i="3"/>
  <c r="I2" i="3"/>
  <c r="I31" i="3"/>
  <c r="I32" i="3"/>
  <c r="I33" i="3"/>
  <c r="J14" i="3"/>
  <c r="J2" i="3"/>
  <c r="J31" i="3"/>
  <c r="J32" i="3"/>
  <c r="J33" i="3"/>
  <c r="K14" i="3"/>
  <c r="K2" i="3"/>
  <c r="K31" i="3"/>
  <c r="K32" i="3"/>
  <c r="K33" i="3"/>
  <c r="L14" i="3"/>
  <c r="L2" i="3"/>
  <c r="L31" i="3"/>
  <c r="L32" i="3"/>
  <c r="L33" i="3"/>
  <c r="M14" i="3"/>
  <c r="M2" i="3"/>
  <c r="M31" i="3"/>
  <c r="M32" i="3"/>
  <c r="M33" i="3"/>
  <c r="N14" i="3"/>
  <c r="N2" i="3"/>
  <c r="N31" i="3"/>
  <c r="N32" i="3"/>
  <c r="N33" i="3"/>
  <c r="O14" i="3"/>
  <c r="O2" i="3"/>
  <c r="O31" i="3"/>
  <c r="O32" i="3"/>
  <c r="O33" i="3"/>
  <c r="P14" i="3"/>
  <c r="P2" i="3"/>
  <c r="P31" i="3"/>
  <c r="P32" i="3"/>
  <c r="P33" i="3"/>
  <c r="Q14" i="3"/>
  <c r="Q2" i="3"/>
  <c r="Q31" i="3"/>
  <c r="Q32" i="3"/>
  <c r="Q33" i="3"/>
  <c r="R14" i="3"/>
  <c r="R2" i="3"/>
  <c r="R31" i="3"/>
  <c r="R32" i="3"/>
  <c r="R33" i="3"/>
  <c r="S14" i="3"/>
  <c r="S2" i="3"/>
  <c r="S31" i="3"/>
  <c r="S32" i="3"/>
  <c r="S33" i="3"/>
  <c r="T14" i="3"/>
  <c r="T2" i="3"/>
  <c r="T31" i="3"/>
  <c r="T32" i="3"/>
  <c r="T33" i="3"/>
  <c r="U14" i="3"/>
  <c r="U2" i="3"/>
  <c r="U31" i="3"/>
  <c r="U32" i="3"/>
  <c r="U33" i="3"/>
  <c r="V14" i="3"/>
  <c r="V2" i="3"/>
  <c r="V31" i="3"/>
  <c r="V32" i="3"/>
  <c r="V33" i="3"/>
  <c r="W14" i="3"/>
  <c r="W2" i="3"/>
  <c r="W31" i="3"/>
  <c r="W32" i="3"/>
  <c r="W33" i="3"/>
  <c r="X14" i="3"/>
  <c r="X2" i="3"/>
  <c r="X31" i="3"/>
  <c r="X32" i="3"/>
  <c r="X33" i="3"/>
  <c r="Y14" i="3"/>
  <c r="Y2" i="3"/>
  <c r="Y31" i="3"/>
  <c r="Y32" i="3"/>
  <c r="Y33" i="3"/>
  <c r="Z14" i="3"/>
  <c r="Z2" i="3"/>
  <c r="Z31" i="3"/>
  <c r="Z32" i="3"/>
  <c r="Z33" i="3"/>
  <c r="B34" i="3"/>
  <c r="C11" i="4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C34" i="3"/>
  <c r="B20" i="3"/>
  <c r="B22" i="3"/>
  <c r="B23" i="3"/>
  <c r="B25" i="3"/>
  <c r="B28" i="3"/>
  <c r="B14" i="3"/>
  <c r="B33" i="3"/>
  <c r="B2" i="3"/>
  <c r="D55" i="1"/>
  <c r="D54" i="1"/>
  <c r="G50" i="1"/>
  <c r="F51" i="1"/>
  <c r="D49" i="1"/>
  <c r="D44" i="1"/>
  <c r="D45" i="1"/>
  <c r="D46" i="1"/>
  <c r="D47" i="1"/>
  <c r="D48" i="1"/>
  <c r="D43" i="1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17" i="1"/>
  <c r="X6" i="2"/>
  <c r="D6" i="2"/>
  <c r="E6" i="2"/>
  <c r="F6" i="2"/>
  <c r="H6" i="2"/>
  <c r="J6" i="2"/>
  <c r="L6" i="2"/>
  <c r="N6" i="2"/>
  <c r="P6" i="2"/>
  <c r="Q6" i="2"/>
  <c r="R6" i="2"/>
  <c r="S6" i="2"/>
  <c r="T6" i="2"/>
  <c r="V6" i="2"/>
  <c r="Y6" i="2"/>
  <c r="X7" i="2"/>
  <c r="D7" i="2"/>
  <c r="E7" i="2"/>
  <c r="F7" i="2"/>
  <c r="H7" i="2"/>
  <c r="J7" i="2"/>
  <c r="L7" i="2"/>
  <c r="N7" i="2"/>
  <c r="O7" i="2"/>
  <c r="P7" i="2"/>
  <c r="Q7" i="2"/>
  <c r="R7" i="2"/>
  <c r="S7" i="2"/>
  <c r="T7" i="2"/>
  <c r="V7" i="2"/>
  <c r="Y7" i="2"/>
  <c r="X8" i="2"/>
  <c r="D8" i="2"/>
  <c r="E8" i="2"/>
  <c r="F8" i="2"/>
  <c r="H8" i="2"/>
  <c r="J8" i="2"/>
  <c r="L8" i="2"/>
  <c r="N8" i="2"/>
  <c r="O8" i="2"/>
  <c r="P8" i="2"/>
  <c r="Q8" i="2"/>
  <c r="R8" i="2"/>
  <c r="S8" i="2"/>
  <c r="T8" i="2"/>
  <c r="V8" i="2"/>
  <c r="Y8" i="2"/>
  <c r="X9" i="2"/>
  <c r="D9" i="2"/>
  <c r="E9" i="2"/>
  <c r="F9" i="2"/>
  <c r="H9" i="2"/>
  <c r="J9" i="2"/>
  <c r="L9" i="2"/>
  <c r="N9" i="2"/>
  <c r="O9" i="2"/>
  <c r="P9" i="2"/>
  <c r="Q9" i="2"/>
  <c r="R9" i="2"/>
  <c r="S9" i="2"/>
  <c r="T9" i="2"/>
  <c r="V9" i="2"/>
  <c r="Y9" i="2"/>
  <c r="X10" i="2"/>
  <c r="D10" i="2"/>
  <c r="E10" i="2"/>
  <c r="F10" i="2"/>
  <c r="H10" i="2"/>
  <c r="J10" i="2"/>
  <c r="L10" i="2"/>
  <c r="N10" i="2"/>
  <c r="O10" i="2"/>
  <c r="P10" i="2"/>
  <c r="Q10" i="2"/>
  <c r="R10" i="2"/>
  <c r="S10" i="2"/>
  <c r="T10" i="2"/>
  <c r="V10" i="2"/>
  <c r="Y10" i="2"/>
  <c r="X11" i="2"/>
  <c r="D11" i="2"/>
  <c r="E11" i="2"/>
  <c r="F11" i="2"/>
  <c r="H11" i="2"/>
  <c r="J11" i="2"/>
  <c r="L11" i="2"/>
  <c r="N11" i="2"/>
  <c r="O11" i="2"/>
  <c r="P11" i="2"/>
  <c r="Q11" i="2"/>
  <c r="R11" i="2"/>
  <c r="S11" i="2"/>
  <c r="T11" i="2"/>
  <c r="V11" i="2"/>
  <c r="Y11" i="2"/>
  <c r="X12" i="2"/>
  <c r="D12" i="2"/>
  <c r="E12" i="2"/>
  <c r="F12" i="2"/>
  <c r="H12" i="2"/>
  <c r="J12" i="2"/>
  <c r="L12" i="2"/>
  <c r="N12" i="2"/>
  <c r="O12" i="2"/>
  <c r="P12" i="2"/>
  <c r="Q12" i="2"/>
  <c r="R12" i="2"/>
  <c r="S12" i="2"/>
  <c r="T12" i="2"/>
  <c r="V12" i="2"/>
  <c r="Y12" i="2"/>
  <c r="X13" i="2"/>
  <c r="D13" i="2"/>
  <c r="E13" i="2"/>
  <c r="F13" i="2"/>
  <c r="H13" i="2"/>
  <c r="J13" i="2"/>
  <c r="L13" i="2"/>
  <c r="N13" i="2"/>
  <c r="O13" i="2"/>
  <c r="P13" i="2"/>
  <c r="Q13" i="2"/>
  <c r="R13" i="2"/>
  <c r="S13" i="2"/>
  <c r="T13" i="2"/>
  <c r="V13" i="2"/>
  <c r="Y13" i="2"/>
  <c r="X14" i="2"/>
  <c r="D14" i="2"/>
  <c r="E14" i="2"/>
  <c r="F14" i="2"/>
  <c r="H14" i="2"/>
  <c r="J14" i="2"/>
  <c r="L14" i="2"/>
  <c r="N14" i="2"/>
  <c r="O14" i="2"/>
  <c r="P14" i="2"/>
  <c r="Q14" i="2"/>
  <c r="R14" i="2"/>
  <c r="S14" i="2"/>
  <c r="T14" i="2"/>
  <c r="V14" i="2"/>
  <c r="Y14" i="2"/>
  <c r="X15" i="2"/>
  <c r="D15" i="2"/>
  <c r="E15" i="2"/>
  <c r="F15" i="2"/>
  <c r="H15" i="2"/>
  <c r="J15" i="2"/>
  <c r="L15" i="2"/>
  <c r="N15" i="2"/>
  <c r="O15" i="2"/>
  <c r="P15" i="2"/>
  <c r="Q15" i="2"/>
  <c r="R15" i="2"/>
  <c r="S15" i="2"/>
  <c r="T15" i="2"/>
  <c r="V15" i="2"/>
  <c r="Y15" i="2"/>
  <c r="X16" i="2"/>
  <c r="D16" i="2"/>
  <c r="E16" i="2"/>
  <c r="F16" i="2"/>
  <c r="H16" i="2"/>
  <c r="J16" i="2"/>
  <c r="L16" i="2"/>
  <c r="N16" i="2"/>
  <c r="O16" i="2"/>
  <c r="P16" i="2"/>
  <c r="Q16" i="2"/>
  <c r="R16" i="2"/>
  <c r="S16" i="2"/>
  <c r="T16" i="2"/>
  <c r="V16" i="2"/>
  <c r="Y16" i="2"/>
  <c r="X17" i="2"/>
  <c r="D17" i="2"/>
  <c r="E17" i="2"/>
  <c r="F17" i="2"/>
  <c r="H17" i="2"/>
  <c r="J17" i="2"/>
  <c r="L17" i="2"/>
  <c r="N17" i="2"/>
  <c r="O17" i="2"/>
  <c r="P17" i="2"/>
  <c r="Q17" i="2"/>
  <c r="R17" i="2"/>
  <c r="S17" i="2"/>
  <c r="T17" i="2"/>
  <c r="V17" i="2"/>
  <c r="Y17" i="2"/>
  <c r="X18" i="2"/>
  <c r="D18" i="2"/>
  <c r="E18" i="2"/>
  <c r="F18" i="2"/>
  <c r="H18" i="2"/>
  <c r="J18" i="2"/>
  <c r="L18" i="2"/>
  <c r="N18" i="2"/>
  <c r="O18" i="2"/>
  <c r="P18" i="2"/>
  <c r="Q18" i="2"/>
  <c r="R18" i="2"/>
  <c r="S18" i="2"/>
  <c r="T18" i="2"/>
  <c r="V18" i="2"/>
  <c r="Y18" i="2"/>
  <c r="X19" i="2"/>
  <c r="D19" i="2"/>
  <c r="E19" i="2"/>
  <c r="F19" i="2"/>
  <c r="H19" i="2"/>
  <c r="J19" i="2"/>
  <c r="L19" i="2"/>
  <c r="N19" i="2"/>
  <c r="O19" i="2"/>
  <c r="P19" i="2"/>
  <c r="Q19" i="2"/>
  <c r="R19" i="2"/>
  <c r="S19" i="2"/>
  <c r="T19" i="2"/>
  <c r="V19" i="2"/>
  <c r="Y19" i="2"/>
  <c r="X20" i="2"/>
  <c r="D20" i="2"/>
  <c r="E20" i="2"/>
  <c r="F20" i="2"/>
  <c r="H20" i="2"/>
  <c r="J20" i="2"/>
  <c r="L20" i="2"/>
  <c r="N20" i="2"/>
  <c r="O20" i="2"/>
  <c r="P20" i="2"/>
  <c r="Q20" i="2"/>
  <c r="R20" i="2"/>
  <c r="S20" i="2"/>
  <c r="T20" i="2"/>
  <c r="V20" i="2"/>
  <c r="Y20" i="2"/>
  <c r="X21" i="2"/>
  <c r="D21" i="2"/>
  <c r="E21" i="2"/>
  <c r="F21" i="2"/>
  <c r="H21" i="2"/>
  <c r="J21" i="2"/>
  <c r="L21" i="2"/>
  <c r="N21" i="2"/>
  <c r="O21" i="2"/>
  <c r="P21" i="2"/>
  <c r="Q21" i="2"/>
  <c r="R21" i="2"/>
  <c r="S21" i="2"/>
  <c r="T21" i="2"/>
  <c r="V21" i="2"/>
  <c r="Y21" i="2"/>
  <c r="X22" i="2"/>
  <c r="D22" i="2"/>
  <c r="E22" i="2"/>
  <c r="F22" i="2"/>
  <c r="H22" i="2"/>
  <c r="J22" i="2"/>
  <c r="L22" i="2"/>
  <c r="N22" i="2"/>
  <c r="O22" i="2"/>
  <c r="P22" i="2"/>
  <c r="Q22" i="2"/>
  <c r="R22" i="2"/>
  <c r="S22" i="2"/>
  <c r="T22" i="2"/>
  <c r="V22" i="2"/>
  <c r="Y22" i="2"/>
  <c r="X23" i="2"/>
  <c r="D23" i="2"/>
  <c r="E23" i="2"/>
  <c r="F23" i="2"/>
  <c r="H23" i="2"/>
  <c r="J23" i="2"/>
  <c r="L23" i="2"/>
  <c r="N23" i="2"/>
  <c r="O23" i="2"/>
  <c r="P23" i="2"/>
  <c r="Q23" i="2"/>
  <c r="R23" i="2"/>
  <c r="S23" i="2"/>
  <c r="T23" i="2"/>
  <c r="V23" i="2"/>
  <c r="Y23" i="2"/>
  <c r="X24" i="2"/>
  <c r="D24" i="2"/>
  <c r="E24" i="2"/>
  <c r="F24" i="2"/>
  <c r="H24" i="2"/>
  <c r="J24" i="2"/>
  <c r="L24" i="2"/>
  <c r="N24" i="2"/>
  <c r="O24" i="2"/>
  <c r="P24" i="2"/>
  <c r="Q24" i="2"/>
  <c r="R24" i="2"/>
  <c r="S24" i="2"/>
  <c r="T24" i="2"/>
  <c r="V24" i="2"/>
  <c r="Y24" i="2"/>
  <c r="X25" i="2"/>
  <c r="D25" i="2"/>
  <c r="E25" i="2"/>
  <c r="F25" i="2"/>
  <c r="H25" i="2"/>
  <c r="J25" i="2"/>
  <c r="L25" i="2"/>
  <c r="N25" i="2"/>
  <c r="O25" i="2"/>
  <c r="P25" i="2"/>
  <c r="Q25" i="2"/>
  <c r="R25" i="2"/>
  <c r="S25" i="2"/>
  <c r="T25" i="2"/>
  <c r="V25" i="2"/>
  <c r="Y25" i="2"/>
  <c r="X26" i="2"/>
  <c r="D26" i="2"/>
  <c r="E26" i="2"/>
  <c r="F26" i="2"/>
  <c r="H26" i="2"/>
  <c r="J26" i="2"/>
  <c r="L26" i="2"/>
  <c r="N26" i="2"/>
  <c r="O26" i="2"/>
  <c r="P26" i="2"/>
  <c r="Q26" i="2"/>
  <c r="R26" i="2"/>
  <c r="S26" i="2"/>
  <c r="T26" i="2"/>
  <c r="V26" i="2"/>
  <c r="Y26" i="2"/>
  <c r="X27" i="2"/>
  <c r="D27" i="2"/>
  <c r="E27" i="2"/>
  <c r="F27" i="2"/>
  <c r="H27" i="2"/>
  <c r="J27" i="2"/>
  <c r="L27" i="2"/>
  <c r="N27" i="2"/>
  <c r="O27" i="2"/>
  <c r="P27" i="2"/>
  <c r="Q27" i="2"/>
  <c r="R27" i="2"/>
  <c r="S27" i="2"/>
  <c r="T27" i="2"/>
  <c r="V27" i="2"/>
  <c r="Y27" i="2"/>
  <c r="X5" i="2"/>
  <c r="D5" i="2"/>
  <c r="E5" i="2"/>
  <c r="F5" i="2"/>
  <c r="H5" i="2"/>
  <c r="J5" i="2"/>
  <c r="L5" i="2"/>
  <c r="N5" i="2"/>
  <c r="P5" i="2"/>
  <c r="Q5" i="2"/>
  <c r="R5" i="2"/>
  <c r="S5" i="2"/>
  <c r="T5" i="2"/>
  <c r="V5" i="2"/>
  <c r="Y5" i="2"/>
  <c r="X4" i="2"/>
  <c r="D4" i="2"/>
  <c r="E4" i="2"/>
  <c r="F4" i="2"/>
  <c r="H4" i="2"/>
  <c r="J4" i="2"/>
  <c r="L4" i="2"/>
  <c r="N4" i="2"/>
  <c r="P4" i="2"/>
  <c r="Q4" i="2"/>
  <c r="R4" i="2"/>
  <c r="S4" i="2"/>
  <c r="T4" i="2"/>
  <c r="V4" i="2"/>
  <c r="Y4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5" i="2"/>
  <c r="Z6" i="2"/>
  <c r="Z7" i="2"/>
  <c r="Z4" i="2"/>
  <c r="F34" i="1"/>
  <c r="G34" i="1"/>
  <c r="H34" i="1"/>
  <c r="I34" i="1"/>
  <c r="J34" i="1"/>
  <c r="K34" i="1"/>
  <c r="F24" i="1"/>
  <c r="F28" i="1"/>
  <c r="F27" i="1"/>
  <c r="F25" i="1"/>
  <c r="F26" i="1"/>
  <c r="F29" i="1"/>
  <c r="F30" i="1"/>
  <c r="F32" i="1"/>
  <c r="F31" i="1"/>
  <c r="I25" i="1"/>
  <c r="I26" i="1"/>
  <c r="I27" i="1"/>
  <c r="I28" i="1"/>
  <c r="I29" i="1"/>
  <c r="I30" i="1"/>
  <c r="I31" i="1"/>
  <c r="I32" i="1"/>
  <c r="I24" i="1"/>
  <c r="G25" i="1"/>
  <c r="H25" i="1"/>
  <c r="J25" i="1"/>
  <c r="K25" i="1"/>
  <c r="G26" i="1"/>
  <c r="H26" i="1"/>
  <c r="J26" i="1"/>
  <c r="K26" i="1"/>
  <c r="G27" i="1"/>
  <c r="H27" i="1"/>
  <c r="J27" i="1"/>
  <c r="K27" i="1"/>
  <c r="G28" i="1"/>
  <c r="H28" i="1"/>
  <c r="J28" i="1"/>
  <c r="K28" i="1"/>
  <c r="G29" i="1"/>
  <c r="H29" i="1"/>
  <c r="J29" i="1"/>
  <c r="K29" i="1"/>
  <c r="G30" i="1"/>
  <c r="H30" i="1"/>
  <c r="J30" i="1"/>
  <c r="K30" i="1"/>
  <c r="G31" i="1"/>
  <c r="H31" i="1"/>
  <c r="J31" i="1"/>
  <c r="K31" i="1"/>
  <c r="G32" i="1"/>
  <c r="H32" i="1"/>
  <c r="J32" i="1"/>
  <c r="K32" i="1"/>
  <c r="J24" i="1"/>
  <c r="K24" i="1"/>
  <c r="G24" i="1"/>
  <c r="H24" i="1"/>
  <c r="C2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E13" i="1"/>
  <c r="E14" i="1"/>
  <c r="E15" i="1"/>
  <c r="E16" i="1"/>
  <c r="E17" i="1"/>
  <c r="E18" i="1"/>
  <c r="E19" i="1"/>
  <c r="D14" i="1"/>
  <c r="D15" i="1"/>
  <c r="D16" i="1"/>
  <c r="D17" i="1"/>
  <c r="D18" i="1"/>
  <c r="D19" i="1"/>
  <c r="D13" i="1"/>
  <c r="C14" i="1"/>
  <c r="C15" i="1"/>
  <c r="C16" i="1"/>
  <c r="C18" i="1"/>
  <c r="C19" i="1"/>
  <c r="C13" i="1"/>
  <c r="E5" i="1"/>
</calcChain>
</file>

<file path=xl/sharedStrings.xml><?xml version="1.0" encoding="utf-8"?>
<sst xmlns="http://schemas.openxmlformats.org/spreadsheetml/2006/main" count="168" uniqueCount="86">
  <si>
    <t>Inversión</t>
  </si>
  <si>
    <t>TRM</t>
  </si>
  <si>
    <t>USD</t>
  </si>
  <si>
    <t>COP</t>
  </si>
  <si>
    <t>Servicio de Administración</t>
  </si>
  <si>
    <t>Contabilidad</t>
  </si>
  <si>
    <t>Revisoria Físcal</t>
  </si>
  <si>
    <t>Vigilancia</t>
  </si>
  <si>
    <t>Aseo</t>
  </si>
  <si>
    <t>Recuperación de Cartera</t>
  </si>
  <si>
    <t>Seguros</t>
  </si>
  <si>
    <t>Mantenimiento</t>
  </si>
  <si>
    <t>MES</t>
  </si>
  <si>
    <t>Gerente</t>
  </si>
  <si>
    <t>Administrador</t>
  </si>
  <si>
    <t>Contador</t>
  </si>
  <si>
    <t>Revisor Físcal</t>
  </si>
  <si>
    <t>Secretaria</t>
  </si>
  <si>
    <t>Mensajero</t>
  </si>
  <si>
    <t>AÑO 1</t>
  </si>
  <si>
    <t>AÑO 2</t>
  </si>
  <si>
    <t>SALARIO</t>
  </si>
  <si>
    <t>CARGA PRESTACIONAL</t>
  </si>
  <si>
    <t>TOTAL</t>
  </si>
  <si>
    <t>Salario minimo</t>
  </si>
  <si>
    <t>Comercial</t>
  </si>
  <si>
    <t>Auxiliar Administrativo (Convenio SENA)</t>
  </si>
  <si>
    <t>Auxiliar Administrativo</t>
  </si>
  <si>
    <t>COSTO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</si>
  <si>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</si>
  <si>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</si>
  <si>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</si>
  <si>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</si>
  <si>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</si>
  <si>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</si>
  <si>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</si>
  <si>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</si>
  <si>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</si>
  <si>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</si>
  <si>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</si>
  <si>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</si>
  <si>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</si>
  <si>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</si>
  <si>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</si>
  <si>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</si>
  <si>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</si>
  <si>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</si>
  <si>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</si>
  <si>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</si>
  <si>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</si>
  <si>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</si>
  <si>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</si>
  <si>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</si>
  <si>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Costo</t>
  </si>
  <si>
    <t>COSTO</t>
  </si>
  <si>
    <t>Abogado</t>
  </si>
  <si>
    <t>SERVICIO</t>
  </si>
  <si>
    <t>INGRESOS</t>
  </si>
  <si>
    <t>Comisión Pago en Línea</t>
  </si>
  <si>
    <t>COSTOS</t>
  </si>
  <si>
    <t>Inversión Inicial</t>
  </si>
  <si>
    <t>Plataforma Técnologica</t>
  </si>
  <si>
    <t>Soporte Plataforma Fijo</t>
  </si>
  <si>
    <t>Soporte Plataforma Variable</t>
  </si>
  <si>
    <t>Soporte e Infraestructura Variable Plataforma</t>
  </si>
  <si>
    <t>Compra de Equipos de Oficina</t>
  </si>
  <si>
    <t>Salarios</t>
  </si>
  <si>
    <t>FLUJO DE CAJA LIBRE</t>
  </si>
  <si>
    <t>UTILIDAD OPERACIONAL</t>
  </si>
  <si>
    <t>Impuestos</t>
  </si>
  <si>
    <t>VPN</t>
  </si>
  <si>
    <t>Costo Prestación Servicio Vigilancia</t>
  </si>
  <si>
    <t>Porcentaje Vigilancia</t>
  </si>
  <si>
    <t>Tecnología - Cloud-VDIs</t>
  </si>
  <si>
    <t>Tecnología - Conectividad</t>
  </si>
  <si>
    <t>Adecuación Oficina</t>
  </si>
  <si>
    <t>Pago Adelantado Año 1 y 2 Soporte e Infraestructura Fijo Plataforma</t>
  </si>
  <si>
    <t>Servicios Públicos</t>
  </si>
  <si>
    <t>Provición Salarios Meses 1, 2 ,3, 4, 5, 6</t>
  </si>
  <si>
    <t>Pago Adelantado Año 1 y 2 Arriendo</t>
  </si>
  <si>
    <t>Pago Adelantado Servicio de Mesa de Ayuda</t>
  </si>
  <si>
    <t>Publicidad</t>
  </si>
  <si>
    <t>PROVISIÓN IMPUESTOS</t>
  </si>
  <si>
    <t>INVERSIÓN INICIAL</t>
  </si>
  <si>
    <t>AÑO 0</t>
  </si>
  <si>
    <t>PROVISIÓN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</si>
</sst>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174" formatCode="0.000000%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2"/>
      <color theme="6" tint="-0.249977111117893"/>
      <name val="Arial"/>
    </font>
    <font>
      <b/>
      <sz val="12"/>
      <color rgb="FFFF0000"/>
      <name val="Arial"/>
    </font>
    <font>
      <sz val="12"/>
      <color rgb="FFFF0000"/>
      <name val="Arial"/>
    </font>
    <font>
      <b/>
      <sz val="12"/>
      <color rgb="FF3366FF"/>
      <name val="Arial"/>
    </font>
    <font>
      <sz val="12"/>
      <color rgb="FF3366FF"/>
      <name val="Arial"/>
    </font>
    <font>
      <sz val="12"/>
      <color theme="6" tint="-0.249977111117893"/>
      <name val="Arial"/>
    </font>
    <font>
      <b/>
      <sz val="12"/>
      <color theme="5" tint="-0.249977111117893"/>
      <name val="Arial"/>
    </font>
    <font>
      <sz val="12"/>
      <color theme="5" tint="-0.249977111117893"/>
      <name val="Arial"/>
    </font>
    <font>
      <b/>
      <sz val="12"/>
      <color theme="6" tint="-0.499984740745262"/>
      <name val="Arial"/>
    </font>
    <font>
      <sz val="12"/>
      <color theme="6" tint="-0.499984740745262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ck">
        <color theme="3" tint="0.59999389629810485"/>
      </left>
      <right style="medium">
        <color theme="3" tint="0.59999389629810485"/>
      </right>
      <top style="thick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thick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thick">
        <color theme="3" tint="0.59999389629810485"/>
      </right>
      <top style="thick">
        <color theme="3" tint="0.59999389629810485"/>
      </top>
      <bottom style="medium">
        <color theme="3" tint="0.59999389629810485"/>
      </bottom>
      <diagonal/>
    </border>
    <border>
      <left style="thick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thick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ck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ck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ck">
        <color theme="3" tint="0.59999389629810485"/>
      </bottom>
      <diagonal/>
    </border>
    <border>
      <left style="medium">
        <color theme="3" tint="0.59999389629810485"/>
      </left>
      <right style="thick">
        <color theme="3" tint="0.59999389629810485"/>
      </right>
      <top style="medium">
        <color theme="3" tint="0.59999389629810485"/>
      </top>
      <bottom style="thick">
        <color theme="3" tint="0.59999389629810485"/>
      </bottom>
      <diagonal/>
    </border>
    <border>
      <left style="thick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thick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17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2" fontId="5" fillId="0" borderId="0" xfId="1" applyFont="1"/>
    <xf numFmtId="9" fontId="5" fillId="0" borderId="0" xfId="2" applyFont="1"/>
    <xf numFmtId="0" fontId="6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42" fontId="5" fillId="0" borderId="0" xfId="0" applyNumberFormat="1" applyFont="1"/>
    <xf numFmtId="0" fontId="5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2" fontId="5" fillId="0" borderId="5" xfId="1" applyFont="1" applyFill="1" applyBorder="1"/>
    <xf numFmtId="42" fontId="5" fillId="0" borderId="6" xfId="1" applyFont="1" applyFill="1" applyBorder="1"/>
    <xf numFmtId="0" fontId="5" fillId="0" borderId="7" xfId="0" applyFont="1" applyFill="1" applyBorder="1"/>
    <xf numFmtId="42" fontId="5" fillId="0" borderId="8" xfId="0" applyNumberFormat="1" applyFont="1" applyFill="1" applyBorder="1"/>
    <xf numFmtId="42" fontId="5" fillId="0" borderId="8" xfId="1" applyFont="1" applyFill="1" applyBorder="1"/>
    <xf numFmtId="42" fontId="5" fillId="0" borderId="9" xfId="1" applyFont="1" applyFill="1" applyBorder="1"/>
    <xf numFmtId="0" fontId="5" fillId="0" borderId="10" xfId="0" applyFont="1" applyFill="1" applyBorder="1"/>
    <xf numFmtId="42" fontId="5" fillId="0" borderId="11" xfId="1" applyFont="1" applyFill="1" applyBorder="1"/>
    <xf numFmtId="42" fontId="5" fillId="0" borderId="12" xfId="1" applyFont="1" applyFill="1" applyBorder="1"/>
    <xf numFmtId="0" fontId="5" fillId="0" borderId="1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5" fillId="0" borderId="5" xfId="0" applyFont="1" applyBorder="1" applyAlignment="1">
      <alignment horizontal="center"/>
    </xf>
    <xf numFmtId="42" fontId="5" fillId="0" borderId="5" xfId="0" applyNumberFormat="1" applyFont="1" applyBorder="1" applyAlignment="1">
      <alignment horizontal="center"/>
    </xf>
    <xf numFmtId="42" fontId="5" fillId="0" borderId="5" xfId="0" applyNumberFormat="1" applyFont="1" applyBorder="1"/>
    <xf numFmtId="1" fontId="5" fillId="0" borderId="5" xfId="1" applyNumberFormat="1" applyFont="1" applyBorder="1" applyAlignment="1">
      <alignment horizontal="center"/>
    </xf>
    <xf numFmtId="42" fontId="5" fillId="0" borderId="5" xfId="1" applyFont="1" applyBorder="1" applyAlignment="1"/>
    <xf numFmtId="42" fontId="6" fillId="0" borderId="6" xfId="0" applyNumberFormat="1" applyFont="1" applyBorder="1"/>
    <xf numFmtId="1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0" fontId="5" fillId="0" borderId="8" xfId="0" applyFont="1" applyBorder="1" applyAlignment="1">
      <alignment horizontal="center"/>
    </xf>
    <xf numFmtId="42" fontId="5" fillId="0" borderId="8" xfId="0" applyNumberFormat="1" applyFont="1" applyBorder="1" applyAlignment="1">
      <alignment horizontal="center"/>
    </xf>
    <xf numFmtId="42" fontId="5" fillId="0" borderId="8" xfId="0" applyNumberFormat="1" applyFont="1" applyBorder="1"/>
    <xf numFmtId="1" fontId="5" fillId="0" borderId="8" xfId="1" applyNumberFormat="1" applyFont="1" applyBorder="1" applyAlignment="1">
      <alignment horizontal="center"/>
    </xf>
    <xf numFmtId="42" fontId="5" fillId="0" borderId="8" xfId="1" applyFont="1" applyBorder="1" applyAlignment="1"/>
    <xf numFmtId="42" fontId="6" fillId="0" borderId="9" xfId="0" applyNumberFormat="1" applyFont="1" applyBorder="1"/>
    <xf numFmtId="9" fontId="5" fillId="0" borderId="0" xfId="1" applyNumberFormat="1" applyFont="1"/>
    <xf numFmtId="0" fontId="6" fillId="0" borderId="1" xfId="0" applyFont="1" applyFill="1" applyBorder="1"/>
    <xf numFmtId="42" fontId="5" fillId="0" borderId="5" xfId="1" applyFont="1" applyFill="1" applyBorder="1" applyAlignment="1">
      <alignment horizontal="center"/>
    </xf>
    <xf numFmtId="9" fontId="5" fillId="0" borderId="13" xfId="2" applyFont="1" applyFill="1" applyBorder="1" applyAlignment="1">
      <alignment horizontal="center"/>
    </xf>
    <xf numFmtId="9" fontId="5" fillId="0" borderId="14" xfId="2" applyFont="1" applyFill="1" applyBorder="1" applyAlignment="1">
      <alignment horizontal="center"/>
    </xf>
    <xf numFmtId="42" fontId="7" fillId="0" borderId="0" xfId="1" applyFont="1"/>
    <xf numFmtId="42" fontId="8" fillId="0" borderId="0" xfId="1" applyFont="1"/>
    <xf numFmtId="42" fontId="10" fillId="0" borderId="0" xfId="1" applyFont="1"/>
    <xf numFmtId="42" fontId="11" fillId="0" borderId="0" xfId="1" applyFont="1"/>
    <xf numFmtId="42" fontId="9" fillId="0" borderId="0" xfId="1" applyFont="1"/>
    <xf numFmtId="9" fontId="5" fillId="0" borderId="0" xfId="0" applyNumberFormat="1" applyFont="1"/>
    <xf numFmtId="42" fontId="5" fillId="0" borderId="0" xfId="1" applyNumberFormat="1" applyFont="1"/>
    <xf numFmtId="42" fontId="12" fillId="0" borderId="0" xfId="1" applyFont="1"/>
    <xf numFmtId="42" fontId="13" fillId="0" borderId="0" xfId="1" applyFont="1"/>
    <xf numFmtId="42" fontId="14" fillId="0" borderId="0" xfId="1" applyFont="1"/>
    <xf numFmtId="8" fontId="5" fillId="0" borderId="0" xfId="1" applyNumberFormat="1" applyFont="1"/>
    <xf numFmtId="174" fontId="5" fillId="0" borderId="0" xfId="1" applyNumberFormat="1" applyFont="1"/>
    <xf numFmtId="0" fontId="6" fillId="0" borderId="0" xfId="1" applyNumberFormat="1" applyFont="1" applyAlignment="1">
      <alignment horizontal="center"/>
    </xf>
    <xf numFmtId="0" fontId="6" fillId="0" borderId="0" xfId="1" applyNumberFormat="1" applyFont="1"/>
    <xf numFmtId="0" fontId="5" fillId="0" borderId="0" xfId="1" applyNumberFormat="1" applyFont="1"/>
    <xf numFmtId="6" fontId="5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NumberFormat="1" applyBorder="1" applyAlignment="1">
      <alignment vertical="center" wrapText="1"/>
    </xf>
    <xf numFmtId="42" fontId="0" fillId="0" borderId="6" xfId="1" applyFont="1" applyBorder="1" applyAlignment="1">
      <alignment vertical="center"/>
    </xf>
    <xf numFmtId="0" fontId="2" fillId="0" borderId="7" xfId="0" applyNumberFormat="1" applyFont="1" applyBorder="1" applyAlignment="1">
      <alignment vertical="center" wrapText="1"/>
    </xf>
    <xf numFmtId="42" fontId="2" fillId="0" borderId="9" xfId="0" applyNumberFormat="1" applyFont="1" applyBorder="1"/>
    <xf numFmtId="0" fontId="5" fillId="0" borderId="15" xfId="0" applyFont="1" applyBorder="1"/>
    <xf numFmtId="42" fontId="5" fillId="0" borderId="18" xfId="1" applyFont="1" applyBorder="1" applyAlignment="1">
      <alignment horizontal="center"/>
    </xf>
    <xf numFmtId="42" fontId="5" fillId="0" borderId="19" xfId="1" applyFont="1" applyBorder="1" applyAlignment="1">
      <alignment horizontal="center"/>
    </xf>
    <xf numFmtId="42" fontId="5" fillId="0" borderId="20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2" fontId="10" fillId="2" borderId="18" xfId="1" applyFont="1" applyFill="1" applyBorder="1"/>
    <xf numFmtId="42" fontId="10" fillId="2" borderId="19" xfId="1" applyFont="1" applyFill="1" applyBorder="1"/>
    <xf numFmtId="42" fontId="10" fillId="2" borderId="20" xfId="1" applyFont="1" applyFill="1" applyBorder="1"/>
    <xf numFmtId="42" fontId="5" fillId="2" borderId="18" xfId="1" applyFont="1" applyFill="1" applyBorder="1"/>
    <xf numFmtId="42" fontId="5" fillId="2" borderId="19" xfId="1" applyFont="1" applyFill="1" applyBorder="1"/>
    <xf numFmtId="42" fontId="5" fillId="2" borderId="20" xfId="1" applyFont="1" applyFill="1" applyBorder="1"/>
    <xf numFmtId="42" fontId="8" fillId="3" borderId="18" xfId="1" applyFont="1" applyFill="1" applyBorder="1"/>
    <xf numFmtId="42" fontId="8" fillId="3" borderId="19" xfId="1" applyFont="1" applyFill="1" applyBorder="1"/>
    <xf numFmtId="42" fontId="8" fillId="3" borderId="20" xfId="1" applyFont="1" applyFill="1" applyBorder="1"/>
    <xf numFmtId="42" fontId="5" fillId="3" borderId="18" xfId="1" applyFont="1" applyFill="1" applyBorder="1"/>
    <xf numFmtId="42" fontId="5" fillId="3" borderId="19" xfId="1" applyFont="1" applyFill="1" applyBorder="1"/>
    <xf numFmtId="42" fontId="5" fillId="3" borderId="20" xfId="1" applyFont="1" applyFill="1" applyBorder="1"/>
    <xf numFmtId="42" fontId="13" fillId="4" borderId="18" xfId="1" applyFont="1" applyFill="1" applyBorder="1"/>
    <xf numFmtId="42" fontId="13" fillId="4" borderId="19" xfId="1" applyFont="1" applyFill="1" applyBorder="1"/>
    <xf numFmtId="42" fontId="13" fillId="4" borderId="20" xfId="1" applyFont="1" applyFill="1" applyBorder="1"/>
    <xf numFmtId="0" fontId="6" fillId="4" borderId="18" xfId="0" applyFont="1" applyFill="1" applyBorder="1"/>
    <xf numFmtId="42" fontId="5" fillId="4" borderId="19" xfId="1" applyFont="1" applyFill="1" applyBorder="1"/>
    <xf numFmtId="42" fontId="6" fillId="4" borderId="19" xfId="1" applyFont="1" applyFill="1" applyBorder="1"/>
    <xf numFmtId="42" fontId="6" fillId="4" borderId="20" xfId="1" applyFont="1" applyFill="1" applyBorder="1"/>
    <xf numFmtId="0" fontId="6" fillId="4" borderId="21" xfId="0" applyFont="1" applyFill="1" applyBorder="1"/>
    <xf numFmtId="8" fontId="6" fillId="4" borderId="22" xfId="0" applyNumberFormat="1" applyFont="1" applyFill="1" applyBorder="1"/>
    <xf numFmtId="42" fontId="6" fillId="4" borderId="22" xfId="1" applyFont="1" applyFill="1" applyBorder="1"/>
    <xf numFmtId="42" fontId="6" fillId="4" borderId="23" xfId="1" applyFont="1" applyFill="1" applyBorder="1"/>
    <xf numFmtId="42" fontId="15" fillId="4" borderId="18" xfId="1" applyFont="1" applyFill="1" applyBorder="1"/>
    <xf numFmtId="0" fontId="16" fillId="4" borderId="19" xfId="0" applyFont="1" applyFill="1" applyBorder="1"/>
    <xf numFmtId="42" fontId="15" fillId="4" borderId="19" xfId="1" applyFont="1" applyFill="1" applyBorder="1"/>
    <xf numFmtId="42" fontId="15" fillId="4" borderId="20" xfId="1" applyFont="1" applyFill="1" applyBorder="1"/>
  </cellXfs>
  <cellStyles count="11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Moneda [0]" xfId="1" builtinId="7"/>
    <cellStyle name="Normal" xfId="0" builtinId="0"/>
    <cellStyle name="Porcentual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59"/>
  <sheetViews>
    <sheetView topLeftCell="A31" workbookViewId="0">
      <selection activeCell="E56" sqref="E56"/>
    </sheetView>
  </sheetViews>
  <sheetFormatPr baseColWidth="10" defaultRowHeight="15" x14ac:dyDescent="0"/>
  <cols>
    <col min="1" max="1" width="11" style="2" bestFit="1" customWidth="1"/>
    <col min="2" max="2" width="24.6640625" style="2" bestFit="1" customWidth="1"/>
    <col min="3" max="4" width="12.6640625" style="2" bestFit="1" customWidth="1"/>
    <col min="5" max="5" width="36.83203125" style="2" bestFit="1" customWidth="1"/>
    <col min="6" max="6" width="13.1640625" style="2" customWidth="1"/>
    <col min="7" max="7" width="24.1640625" style="2" bestFit="1" customWidth="1"/>
    <col min="8" max="8" width="13.5" style="2" customWidth="1"/>
    <col min="9" max="9" width="14.33203125" style="2" customWidth="1"/>
    <col min="10" max="10" width="24.1640625" style="2" bestFit="1" customWidth="1"/>
    <col min="11" max="11" width="12.6640625" style="2" customWidth="1"/>
    <col min="12" max="26" width="11" style="2" bestFit="1" customWidth="1"/>
    <col min="27" max="16384" width="10.83203125" style="2"/>
  </cols>
  <sheetData>
    <row r="4" spans="1:26">
      <c r="D4" s="2" t="s">
        <v>2</v>
      </c>
      <c r="E4" s="2" t="s">
        <v>3</v>
      </c>
    </row>
    <row r="5" spans="1:26">
      <c r="C5" s="2" t="s">
        <v>0</v>
      </c>
      <c r="D5" s="4">
        <v>200000</v>
      </c>
      <c r="E5" s="4">
        <f>D5*D6</f>
        <v>520000000</v>
      </c>
    </row>
    <row r="6" spans="1:26">
      <c r="C6" s="2" t="s">
        <v>1</v>
      </c>
      <c r="D6" s="4">
        <v>2600</v>
      </c>
    </row>
    <row r="11" spans="1:26">
      <c r="A11" s="5">
        <v>0.08</v>
      </c>
      <c r="B11" s="2" t="s">
        <v>12</v>
      </c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15</v>
      </c>
      <c r="R11" s="6">
        <v>16</v>
      </c>
      <c r="S11" s="6">
        <v>17</v>
      </c>
      <c r="T11" s="6">
        <v>18</v>
      </c>
      <c r="U11" s="6">
        <v>19</v>
      </c>
      <c r="V11" s="6">
        <v>20</v>
      </c>
      <c r="W11" s="6">
        <v>21</v>
      </c>
      <c r="X11" s="6">
        <v>22</v>
      </c>
      <c r="Y11" s="6">
        <v>23</v>
      </c>
      <c r="Z11" s="6">
        <v>24</v>
      </c>
    </row>
    <row r="12" spans="1:26">
      <c r="A12" s="5">
        <v>0.2</v>
      </c>
      <c r="B12" s="2" t="s">
        <v>4</v>
      </c>
      <c r="C12" s="3">
        <v>5</v>
      </c>
      <c r="D12" s="7">
        <f>ROUND(C12*(1+$A$12),0)</f>
        <v>6</v>
      </c>
      <c r="E12" s="7">
        <f>ROUND(D12*(1+$A$12),0)</f>
        <v>7</v>
      </c>
      <c r="F12" s="7">
        <f>ROUND(E12*(1+$A$12),0)</f>
        <v>8</v>
      </c>
      <c r="G12" s="7">
        <f>ROUND(F12*(1+$A$12),0)</f>
        <v>10</v>
      </c>
      <c r="H12" s="7">
        <f>ROUND(G12*(1+$A$12),0)</f>
        <v>12</v>
      </c>
      <c r="I12" s="7">
        <f>ROUND(H12*(1+$A$12),0)</f>
        <v>14</v>
      </c>
      <c r="J12" s="7">
        <f>ROUND(I12*(1+$A$12),0)</f>
        <v>17</v>
      </c>
      <c r="K12" s="7">
        <f>ROUND(J12*(1+$A$12),0)</f>
        <v>20</v>
      </c>
      <c r="L12" s="7">
        <f>ROUND(K12*(1+$A$12),0)</f>
        <v>24</v>
      </c>
      <c r="M12" s="7">
        <f>ROUND(L12*(1+$A$12),0)</f>
        <v>29</v>
      </c>
      <c r="N12" s="7">
        <f>ROUND(M12*(1+$A$12),0)</f>
        <v>35</v>
      </c>
      <c r="O12" s="7">
        <f>ROUND(N12*(1+$A$11),0)</f>
        <v>38</v>
      </c>
      <c r="P12" s="7">
        <f t="shared" ref="P12:Z12" si="0">ROUND(O12*(1+$A$11),0)</f>
        <v>41</v>
      </c>
      <c r="Q12" s="7">
        <f t="shared" si="0"/>
        <v>44</v>
      </c>
      <c r="R12" s="7">
        <f t="shared" si="0"/>
        <v>48</v>
      </c>
      <c r="S12" s="7">
        <f t="shared" si="0"/>
        <v>52</v>
      </c>
      <c r="T12" s="7">
        <f t="shared" si="0"/>
        <v>56</v>
      </c>
      <c r="U12" s="7">
        <f t="shared" si="0"/>
        <v>60</v>
      </c>
      <c r="V12" s="7">
        <f t="shared" si="0"/>
        <v>65</v>
      </c>
      <c r="W12" s="7">
        <f t="shared" si="0"/>
        <v>70</v>
      </c>
      <c r="X12" s="7">
        <f t="shared" si="0"/>
        <v>76</v>
      </c>
      <c r="Y12" s="7">
        <f t="shared" si="0"/>
        <v>82</v>
      </c>
      <c r="Z12" s="7">
        <f t="shared" si="0"/>
        <v>89</v>
      </c>
    </row>
    <row r="13" spans="1:26">
      <c r="A13" s="5">
        <v>1</v>
      </c>
      <c r="B13" s="2" t="s">
        <v>5</v>
      </c>
      <c r="C13" s="3">
        <f>ROUNDDOWN(C$12*$A13,0)</f>
        <v>5</v>
      </c>
      <c r="D13" s="3">
        <f>ROUNDDOWN(D$12*$A13,0)</f>
        <v>6</v>
      </c>
      <c r="E13" s="3">
        <f>ROUNDDOWN(E$12*$A13,0)</f>
        <v>7</v>
      </c>
      <c r="F13" s="3">
        <f t="shared" ref="F13:Z19" si="1">ROUNDDOWN(F$12*$A13,0)</f>
        <v>8</v>
      </c>
      <c r="G13" s="3">
        <f t="shared" si="1"/>
        <v>10</v>
      </c>
      <c r="H13" s="3">
        <f t="shared" si="1"/>
        <v>12</v>
      </c>
      <c r="I13" s="3">
        <f t="shared" si="1"/>
        <v>14</v>
      </c>
      <c r="J13" s="3">
        <f t="shared" si="1"/>
        <v>17</v>
      </c>
      <c r="K13" s="3">
        <f t="shared" si="1"/>
        <v>20</v>
      </c>
      <c r="L13" s="3">
        <f t="shared" si="1"/>
        <v>24</v>
      </c>
      <c r="M13" s="3">
        <f t="shared" si="1"/>
        <v>29</v>
      </c>
      <c r="N13" s="3">
        <f t="shared" si="1"/>
        <v>35</v>
      </c>
      <c r="O13" s="3">
        <f t="shared" si="1"/>
        <v>38</v>
      </c>
      <c r="P13" s="3">
        <f t="shared" si="1"/>
        <v>41</v>
      </c>
      <c r="Q13" s="3">
        <f t="shared" si="1"/>
        <v>44</v>
      </c>
      <c r="R13" s="3">
        <f t="shared" si="1"/>
        <v>48</v>
      </c>
      <c r="S13" s="3">
        <f t="shared" si="1"/>
        <v>52</v>
      </c>
      <c r="T13" s="3">
        <f t="shared" si="1"/>
        <v>56</v>
      </c>
      <c r="U13" s="3">
        <f t="shared" si="1"/>
        <v>60</v>
      </c>
      <c r="V13" s="3">
        <f t="shared" si="1"/>
        <v>65</v>
      </c>
      <c r="W13" s="3">
        <f t="shared" si="1"/>
        <v>70</v>
      </c>
      <c r="X13" s="3">
        <f t="shared" si="1"/>
        <v>76</v>
      </c>
      <c r="Y13" s="3">
        <f t="shared" si="1"/>
        <v>82</v>
      </c>
      <c r="Z13" s="3">
        <f t="shared" si="1"/>
        <v>89</v>
      </c>
    </row>
    <row r="14" spans="1:26">
      <c r="A14" s="5">
        <v>0.6</v>
      </c>
      <c r="B14" s="2" t="s">
        <v>6</v>
      </c>
      <c r="C14" s="3">
        <f t="shared" ref="C14:R19" si="2">ROUNDDOWN(C$12*$A14,0)</f>
        <v>3</v>
      </c>
      <c r="D14" s="3">
        <f t="shared" si="2"/>
        <v>3</v>
      </c>
      <c r="E14" s="3">
        <f t="shared" si="2"/>
        <v>4</v>
      </c>
      <c r="F14" s="3">
        <f t="shared" si="2"/>
        <v>4</v>
      </c>
      <c r="G14" s="3">
        <f t="shared" si="2"/>
        <v>6</v>
      </c>
      <c r="H14" s="3">
        <f t="shared" si="2"/>
        <v>7</v>
      </c>
      <c r="I14" s="3">
        <f t="shared" si="2"/>
        <v>8</v>
      </c>
      <c r="J14" s="3">
        <f t="shared" si="2"/>
        <v>10</v>
      </c>
      <c r="K14" s="3">
        <f t="shared" si="2"/>
        <v>12</v>
      </c>
      <c r="L14" s="3">
        <f t="shared" si="2"/>
        <v>14</v>
      </c>
      <c r="M14" s="3">
        <f t="shared" si="2"/>
        <v>17</v>
      </c>
      <c r="N14" s="3">
        <f t="shared" si="2"/>
        <v>21</v>
      </c>
      <c r="O14" s="3">
        <f t="shared" si="2"/>
        <v>22</v>
      </c>
      <c r="P14" s="3">
        <f t="shared" si="2"/>
        <v>24</v>
      </c>
      <c r="Q14" s="3">
        <f t="shared" si="2"/>
        <v>26</v>
      </c>
      <c r="R14" s="3">
        <f t="shared" si="2"/>
        <v>28</v>
      </c>
      <c r="S14" s="3">
        <f t="shared" si="1"/>
        <v>31</v>
      </c>
      <c r="T14" s="3">
        <f t="shared" si="1"/>
        <v>33</v>
      </c>
      <c r="U14" s="3">
        <f t="shared" si="1"/>
        <v>36</v>
      </c>
      <c r="V14" s="3">
        <f t="shared" si="1"/>
        <v>39</v>
      </c>
      <c r="W14" s="3">
        <f t="shared" si="1"/>
        <v>42</v>
      </c>
      <c r="X14" s="3">
        <f t="shared" si="1"/>
        <v>45</v>
      </c>
      <c r="Y14" s="3">
        <f t="shared" si="1"/>
        <v>49</v>
      </c>
      <c r="Z14" s="3">
        <f t="shared" si="1"/>
        <v>53</v>
      </c>
    </row>
    <row r="15" spans="1:26">
      <c r="A15" s="5">
        <v>0.3</v>
      </c>
      <c r="B15" s="2" t="s">
        <v>7</v>
      </c>
      <c r="C15" s="3">
        <f t="shared" si="2"/>
        <v>1</v>
      </c>
      <c r="D15" s="3">
        <f t="shared" si="2"/>
        <v>1</v>
      </c>
      <c r="E15" s="3">
        <f t="shared" si="2"/>
        <v>2</v>
      </c>
      <c r="F15" s="3">
        <f t="shared" si="1"/>
        <v>2</v>
      </c>
      <c r="G15" s="3">
        <f t="shared" si="1"/>
        <v>3</v>
      </c>
      <c r="H15" s="3">
        <f t="shared" si="1"/>
        <v>3</v>
      </c>
      <c r="I15" s="3">
        <f t="shared" si="1"/>
        <v>4</v>
      </c>
      <c r="J15" s="3">
        <f t="shared" si="1"/>
        <v>5</v>
      </c>
      <c r="K15" s="3">
        <f t="shared" si="1"/>
        <v>6</v>
      </c>
      <c r="L15" s="3">
        <f t="shared" si="1"/>
        <v>7</v>
      </c>
      <c r="M15" s="3">
        <f t="shared" si="1"/>
        <v>8</v>
      </c>
      <c r="N15" s="3">
        <f t="shared" si="1"/>
        <v>10</v>
      </c>
      <c r="O15" s="3">
        <f t="shared" si="1"/>
        <v>11</v>
      </c>
      <c r="P15" s="3">
        <f t="shared" si="1"/>
        <v>12</v>
      </c>
      <c r="Q15" s="3">
        <f t="shared" si="1"/>
        <v>13</v>
      </c>
      <c r="R15" s="3">
        <f t="shared" si="1"/>
        <v>14</v>
      </c>
      <c r="S15" s="3">
        <f t="shared" si="1"/>
        <v>15</v>
      </c>
      <c r="T15" s="3">
        <f t="shared" si="1"/>
        <v>16</v>
      </c>
      <c r="U15" s="3">
        <f t="shared" si="1"/>
        <v>18</v>
      </c>
      <c r="V15" s="3">
        <f t="shared" si="1"/>
        <v>19</v>
      </c>
      <c r="W15" s="3">
        <f t="shared" si="1"/>
        <v>21</v>
      </c>
      <c r="X15" s="3">
        <f t="shared" si="1"/>
        <v>22</v>
      </c>
      <c r="Y15" s="3">
        <f t="shared" si="1"/>
        <v>24</v>
      </c>
      <c r="Z15" s="3">
        <f t="shared" si="1"/>
        <v>26</v>
      </c>
    </row>
    <row r="16" spans="1:26">
      <c r="A16" s="5">
        <v>0.5</v>
      </c>
      <c r="B16" s="2" t="s">
        <v>8</v>
      </c>
      <c r="C16" s="3">
        <f t="shared" si="2"/>
        <v>2</v>
      </c>
      <c r="D16" s="3">
        <f t="shared" si="2"/>
        <v>3</v>
      </c>
      <c r="E16" s="3">
        <f t="shared" si="2"/>
        <v>3</v>
      </c>
      <c r="F16" s="3">
        <f t="shared" si="1"/>
        <v>4</v>
      </c>
      <c r="G16" s="3">
        <f t="shared" si="1"/>
        <v>5</v>
      </c>
      <c r="H16" s="3">
        <f t="shared" si="1"/>
        <v>6</v>
      </c>
      <c r="I16" s="3">
        <f t="shared" si="1"/>
        <v>7</v>
      </c>
      <c r="J16" s="3">
        <f t="shared" si="1"/>
        <v>8</v>
      </c>
      <c r="K16" s="3">
        <f t="shared" si="1"/>
        <v>10</v>
      </c>
      <c r="L16" s="3">
        <f t="shared" si="1"/>
        <v>12</v>
      </c>
      <c r="M16" s="3">
        <f t="shared" si="1"/>
        <v>14</v>
      </c>
      <c r="N16" s="3">
        <f t="shared" si="1"/>
        <v>17</v>
      </c>
      <c r="O16" s="3">
        <f t="shared" si="1"/>
        <v>19</v>
      </c>
      <c r="P16" s="3">
        <f t="shared" si="1"/>
        <v>20</v>
      </c>
      <c r="Q16" s="3">
        <f t="shared" si="1"/>
        <v>22</v>
      </c>
      <c r="R16" s="3">
        <f t="shared" si="1"/>
        <v>24</v>
      </c>
      <c r="S16" s="3">
        <f t="shared" si="1"/>
        <v>26</v>
      </c>
      <c r="T16" s="3">
        <f t="shared" si="1"/>
        <v>28</v>
      </c>
      <c r="U16" s="3">
        <f t="shared" si="1"/>
        <v>30</v>
      </c>
      <c r="V16" s="3">
        <f t="shared" si="1"/>
        <v>32</v>
      </c>
      <c r="W16" s="3">
        <f t="shared" si="1"/>
        <v>35</v>
      </c>
      <c r="X16" s="3">
        <f t="shared" si="1"/>
        <v>38</v>
      </c>
      <c r="Y16" s="3">
        <f t="shared" si="1"/>
        <v>41</v>
      </c>
      <c r="Z16" s="3">
        <f t="shared" si="1"/>
        <v>44</v>
      </c>
    </row>
    <row r="17" spans="1:26">
      <c r="A17" s="5">
        <v>0.2</v>
      </c>
      <c r="B17" s="2" t="s">
        <v>9</v>
      </c>
      <c r="C17" s="3">
        <f t="shared" si="2"/>
        <v>1</v>
      </c>
      <c r="D17" s="3">
        <f t="shared" si="2"/>
        <v>1</v>
      </c>
      <c r="E17" s="3">
        <f t="shared" si="2"/>
        <v>1</v>
      </c>
      <c r="F17" s="3">
        <f t="shared" si="1"/>
        <v>1</v>
      </c>
      <c r="G17" s="3">
        <f t="shared" si="1"/>
        <v>2</v>
      </c>
      <c r="H17" s="3">
        <f t="shared" si="1"/>
        <v>2</v>
      </c>
      <c r="I17" s="3">
        <f t="shared" si="1"/>
        <v>2</v>
      </c>
      <c r="J17" s="3">
        <f t="shared" si="1"/>
        <v>3</v>
      </c>
      <c r="K17" s="3">
        <f t="shared" si="1"/>
        <v>4</v>
      </c>
      <c r="L17" s="3">
        <f t="shared" si="1"/>
        <v>4</v>
      </c>
      <c r="M17" s="3">
        <f t="shared" si="1"/>
        <v>5</v>
      </c>
      <c r="N17" s="3">
        <f t="shared" si="1"/>
        <v>7</v>
      </c>
      <c r="O17" s="3">
        <f t="shared" si="1"/>
        <v>7</v>
      </c>
      <c r="P17" s="3">
        <f t="shared" si="1"/>
        <v>8</v>
      </c>
      <c r="Q17" s="3">
        <f t="shared" si="1"/>
        <v>8</v>
      </c>
      <c r="R17" s="3">
        <f t="shared" si="1"/>
        <v>9</v>
      </c>
      <c r="S17" s="3">
        <f t="shared" si="1"/>
        <v>10</v>
      </c>
      <c r="T17" s="3">
        <f t="shared" si="1"/>
        <v>11</v>
      </c>
      <c r="U17" s="3">
        <f t="shared" si="1"/>
        <v>12</v>
      </c>
      <c r="V17" s="3">
        <f t="shared" si="1"/>
        <v>13</v>
      </c>
      <c r="W17" s="3">
        <f t="shared" si="1"/>
        <v>14</v>
      </c>
      <c r="X17" s="3">
        <f t="shared" si="1"/>
        <v>15</v>
      </c>
      <c r="Y17" s="3">
        <f t="shared" si="1"/>
        <v>16</v>
      </c>
      <c r="Z17" s="3">
        <f t="shared" si="1"/>
        <v>17</v>
      </c>
    </row>
    <row r="18" spans="1:26">
      <c r="A18" s="5">
        <v>0.4</v>
      </c>
      <c r="B18" s="2" t="s">
        <v>10</v>
      </c>
      <c r="C18" s="3">
        <f t="shared" si="2"/>
        <v>2</v>
      </c>
      <c r="D18" s="3">
        <f t="shared" si="2"/>
        <v>2</v>
      </c>
      <c r="E18" s="3">
        <f t="shared" si="2"/>
        <v>2</v>
      </c>
      <c r="F18" s="3">
        <f t="shared" si="1"/>
        <v>3</v>
      </c>
      <c r="G18" s="3">
        <f t="shared" si="1"/>
        <v>4</v>
      </c>
      <c r="H18" s="3">
        <f t="shared" si="1"/>
        <v>4</v>
      </c>
      <c r="I18" s="3">
        <f t="shared" si="1"/>
        <v>5</v>
      </c>
      <c r="J18" s="3">
        <f t="shared" si="1"/>
        <v>6</v>
      </c>
      <c r="K18" s="3">
        <f t="shared" si="1"/>
        <v>8</v>
      </c>
      <c r="L18" s="3">
        <f t="shared" si="1"/>
        <v>9</v>
      </c>
      <c r="M18" s="3">
        <f t="shared" si="1"/>
        <v>11</v>
      </c>
      <c r="N18" s="3">
        <f t="shared" si="1"/>
        <v>14</v>
      </c>
      <c r="O18" s="3">
        <f t="shared" si="1"/>
        <v>15</v>
      </c>
      <c r="P18" s="3">
        <f t="shared" si="1"/>
        <v>16</v>
      </c>
      <c r="Q18" s="3">
        <f t="shared" si="1"/>
        <v>17</v>
      </c>
      <c r="R18" s="3">
        <f t="shared" si="1"/>
        <v>19</v>
      </c>
      <c r="S18" s="3">
        <f t="shared" si="1"/>
        <v>20</v>
      </c>
      <c r="T18" s="3">
        <f t="shared" si="1"/>
        <v>22</v>
      </c>
      <c r="U18" s="3">
        <f t="shared" si="1"/>
        <v>24</v>
      </c>
      <c r="V18" s="3">
        <f t="shared" si="1"/>
        <v>26</v>
      </c>
      <c r="W18" s="3">
        <f t="shared" si="1"/>
        <v>28</v>
      </c>
      <c r="X18" s="3">
        <f t="shared" si="1"/>
        <v>30</v>
      </c>
      <c r="Y18" s="3">
        <f t="shared" si="1"/>
        <v>32</v>
      </c>
      <c r="Z18" s="3">
        <f t="shared" si="1"/>
        <v>35</v>
      </c>
    </row>
    <row r="19" spans="1:26">
      <c r="A19" s="5">
        <v>0.5</v>
      </c>
      <c r="B19" s="2" t="s">
        <v>11</v>
      </c>
      <c r="C19" s="3">
        <f t="shared" si="2"/>
        <v>2</v>
      </c>
      <c r="D19" s="3">
        <f t="shared" si="2"/>
        <v>3</v>
      </c>
      <c r="E19" s="3">
        <f t="shared" si="2"/>
        <v>3</v>
      </c>
      <c r="F19" s="3">
        <f t="shared" si="1"/>
        <v>4</v>
      </c>
      <c r="G19" s="3">
        <f t="shared" si="1"/>
        <v>5</v>
      </c>
      <c r="H19" s="3">
        <f t="shared" si="1"/>
        <v>6</v>
      </c>
      <c r="I19" s="3">
        <f t="shared" si="1"/>
        <v>7</v>
      </c>
      <c r="J19" s="3">
        <f t="shared" si="1"/>
        <v>8</v>
      </c>
      <c r="K19" s="3">
        <f t="shared" si="1"/>
        <v>10</v>
      </c>
      <c r="L19" s="3">
        <f t="shared" si="1"/>
        <v>12</v>
      </c>
      <c r="M19" s="3">
        <f t="shared" si="1"/>
        <v>14</v>
      </c>
      <c r="N19" s="3">
        <f t="shared" si="1"/>
        <v>17</v>
      </c>
      <c r="O19" s="3">
        <f t="shared" si="1"/>
        <v>19</v>
      </c>
      <c r="P19" s="3">
        <f t="shared" si="1"/>
        <v>20</v>
      </c>
      <c r="Q19" s="3">
        <f t="shared" si="1"/>
        <v>22</v>
      </c>
      <c r="R19" s="3">
        <f t="shared" si="1"/>
        <v>24</v>
      </c>
      <c r="S19" s="3">
        <f t="shared" si="1"/>
        <v>26</v>
      </c>
      <c r="T19" s="3">
        <f t="shared" si="1"/>
        <v>28</v>
      </c>
      <c r="U19" s="3">
        <f t="shared" si="1"/>
        <v>30</v>
      </c>
      <c r="V19" s="3">
        <f t="shared" si="1"/>
        <v>32</v>
      </c>
      <c r="W19" s="3">
        <f t="shared" si="1"/>
        <v>35</v>
      </c>
      <c r="X19" s="3">
        <f t="shared" si="1"/>
        <v>38</v>
      </c>
      <c r="Y19" s="3">
        <f t="shared" si="1"/>
        <v>41</v>
      </c>
      <c r="Z19" s="3">
        <f t="shared" si="1"/>
        <v>44</v>
      </c>
    </row>
    <row r="21" spans="1:26" ht="16" thickBot="1"/>
    <row r="22" spans="1:26" ht="17" thickTop="1" thickBot="1">
      <c r="E22" s="9"/>
      <c r="F22" s="10" t="s">
        <v>19</v>
      </c>
      <c r="G22" s="10"/>
      <c r="H22" s="10"/>
      <c r="I22" s="10" t="s">
        <v>20</v>
      </c>
      <c r="J22" s="10"/>
      <c r="K22" s="11"/>
    </row>
    <row r="23" spans="1:26" ht="16" thickBot="1">
      <c r="B23" s="2" t="s">
        <v>24</v>
      </c>
      <c r="C23" s="4">
        <v>644350</v>
      </c>
      <c r="E23" s="12"/>
      <c r="F23" s="13" t="s">
        <v>21</v>
      </c>
      <c r="G23" s="13" t="s">
        <v>22</v>
      </c>
      <c r="H23" s="13" t="s">
        <v>23</v>
      </c>
      <c r="I23" s="13" t="s">
        <v>21</v>
      </c>
      <c r="J23" s="13" t="s">
        <v>22</v>
      </c>
      <c r="K23" s="14" t="s">
        <v>23</v>
      </c>
    </row>
    <row r="24" spans="1:26" ht="16" thickBot="1">
      <c r="B24" s="2" t="s">
        <v>4</v>
      </c>
      <c r="C24" s="4">
        <v>1400000</v>
      </c>
      <c r="E24" s="12" t="s">
        <v>13</v>
      </c>
      <c r="F24" s="15">
        <f>C23*4</f>
        <v>2577400</v>
      </c>
      <c r="G24" s="15">
        <f>F24*0.54</f>
        <v>1391796</v>
      </c>
      <c r="H24" s="15">
        <f>G24+F24</f>
        <v>3969196</v>
      </c>
      <c r="I24" s="15">
        <f>F24*(1.04584)</f>
        <v>2695548.0160000003</v>
      </c>
      <c r="J24" s="15">
        <f>I24*0.54</f>
        <v>1455595.9286400003</v>
      </c>
      <c r="K24" s="16">
        <f>J24+I24</f>
        <v>4151143.9446400004</v>
      </c>
    </row>
    <row r="25" spans="1:26" ht="16" thickBot="1">
      <c r="B25" s="2" t="s">
        <v>5</v>
      </c>
      <c r="C25" s="4">
        <v>300000</v>
      </c>
      <c r="E25" s="12" t="s">
        <v>14</v>
      </c>
      <c r="F25" s="15">
        <f>C23*2.3</f>
        <v>1482005</v>
      </c>
      <c r="G25" s="15">
        <f t="shared" ref="G25:G34" si="3">F25*0.54</f>
        <v>800282.70000000007</v>
      </c>
      <c r="H25" s="15">
        <f t="shared" ref="H25:H32" si="4">G25+F25</f>
        <v>2282287.7000000002</v>
      </c>
      <c r="I25" s="15">
        <f t="shared" ref="I25:I32" si="5">F25*(1.04584)</f>
        <v>1549940.1092000001</v>
      </c>
      <c r="J25" s="15">
        <f t="shared" ref="J25:J34" si="6">I25*0.54</f>
        <v>836967.65896800009</v>
      </c>
      <c r="K25" s="16">
        <f t="shared" ref="K25:K32" si="7">J25+I25</f>
        <v>2386907.768168</v>
      </c>
    </row>
    <row r="26" spans="1:26" ht="16" thickBot="1">
      <c r="B26" s="2" t="s">
        <v>6</v>
      </c>
      <c r="C26" s="4">
        <v>224000</v>
      </c>
      <c r="E26" s="12" t="s">
        <v>15</v>
      </c>
      <c r="F26" s="15">
        <f>C23*2.5</f>
        <v>1610875</v>
      </c>
      <c r="G26" s="15">
        <f t="shared" si="3"/>
        <v>869872.5</v>
      </c>
      <c r="H26" s="15">
        <f t="shared" si="4"/>
        <v>2480747.5</v>
      </c>
      <c r="I26" s="15">
        <f t="shared" si="5"/>
        <v>1684717.5100000002</v>
      </c>
      <c r="J26" s="15">
        <f t="shared" si="6"/>
        <v>909747.45540000021</v>
      </c>
      <c r="K26" s="16">
        <f t="shared" si="7"/>
        <v>2594464.9654000006</v>
      </c>
    </row>
    <row r="27" spans="1:26" ht="16" thickBot="1">
      <c r="B27" s="2" t="s">
        <v>7</v>
      </c>
      <c r="C27" s="4">
        <f>2600000*3</f>
        <v>7800000</v>
      </c>
      <c r="E27" s="12" t="s">
        <v>26</v>
      </c>
      <c r="F27" s="15">
        <f>C23</f>
        <v>644350</v>
      </c>
      <c r="G27" s="15">
        <f t="shared" si="3"/>
        <v>347949</v>
      </c>
      <c r="H27" s="15">
        <f t="shared" si="4"/>
        <v>992299</v>
      </c>
      <c r="I27" s="15">
        <f t="shared" si="5"/>
        <v>673887.00400000007</v>
      </c>
      <c r="J27" s="15">
        <f t="shared" si="6"/>
        <v>363898.98216000007</v>
      </c>
      <c r="K27" s="16">
        <f t="shared" si="7"/>
        <v>1037785.9861600001</v>
      </c>
    </row>
    <row r="28" spans="1:26" ht="16" thickBot="1">
      <c r="B28" s="2" t="s">
        <v>8</v>
      </c>
      <c r="C28" s="4">
        <v>1300000</v>
      </c>
      <c r="E28" s="12" t="s">
        <v>16</v>
      </c>
      <c r="F28" s="15">
        <f>C23*2.5</f>
        <v>1610875</v>
      </c>
      <c r="G28" s="15">
        <f t="shared" si="3"/>
        <v>869872.5</v>
      </c>
      <c r="H28" s="15">
        <f t="shared" si="4"/>
        <v>2480747.5</v>
      </c>
      <c r="I28" s="15">
        <f t="shared" si="5"/>
        <v>1684717.5100000002</v>
      </c>
      <c r="J28" s="15">
        <f t="shared" si="6"/>
        <v>909747.45540000021</v>
      </c>
      <c r="K28" s="16">
        <f t="shared" si="7"/>
        <v>2594464.9654000006</v>
      </c>
    </row>
    <row r="29" spans="1:26" ht="16" thickBot="1">
      <c r="B29" s="2" t="s">
        <v>9</v>
      </c>
      <c r="C29" s="4"/>
      <c r="E29" s="12" t="s">
        <v>17</v>
      </c>
      <c r="F29" s="15">
        <f>C23*1.5</f>
        <v>966525</v>
      </c>
      <c r="G29" s="15">
        <f t="shared" si="3"/>
        <v>521923.50000000006</v>
      </c>
      <c r="H29" s="15">
        <f t="shared" si="4"/>
        <v>1488448.5</v>
      </c>
      <c r="I29" s="15">
        <f t="shared" si="5"/>
        <v>1010830.5060000001</v>
      </c>
      <c r="J29" s="15">
        <f t="shared" si="6"/>
        <v>545848.47324000008</v>
      </c>
      <c r="K29" s="16">
        <f t="shared" si="7"/>
        <v>1556678.9792400002</v>
      </c>
    </row>
    <row r="30" spans="1:26" ht="16" thickBot="1">
      <c r="B30" s="2" t="s">
        <v>10</v>
      </c>
      <c r="C30" s="4"/>
      <c r="E30" s="12" t="s">
        <v>18</v>
      </c>
      <c r="F30" s="15">
        <f>C23</f>
        <v>644350</v>
      </c>
      <c r="G30" s="15">
        <f t="shared" si="3"/>
        <v>347949</v>
      </c>
      <c r="H30" s="15">
        <f t="shared" si="4"/>
        <v>992299</v>
      </c>
      <c r="I30" s="15">
        <f t="shared" si="5"/>
        <v>673887.00400000007</v>
      </c>
      <c r="J30" s="15">
        <f t="shared" si="6"/>
        <v>363898.98216000007</v>
      </c>
      <c r="K30" s="16">
        <f t="shared" si="7"/>
        <v>1037785.9861600001</v>
      </c>
    </row>
    <row r="31" spans="1:26" ht="16" thickBot="1">
      <c r="B31" s="2" t="s">
        <v>11</v>
      </c>
      <c r="C31" s="4"/>
      <c r="E31" s="12" t="s">
        <v>8</v>
      </c>
      <c r="F31" s="15">
        <f>C23</f>
        <v>644350</v>
      </c>
      <c r="G31" s="15">
        <f t="shared" si="3"/>
        <v>347949</v>
      </c>
      <c r="H31" s="15">
        <f t="shared" si="4"/>
        <v>992299</v>
      </c>
      <c r="I31" s="15">
        <f t="shared" si="5"/>
        <v>673887.00400000007</v>
      </c>
      <c r="J31" s="15">
        <f t="shared" si="6"/>
        <v>363898.98216000007</v>
      </c>
      <c r="K31" s="16">
        <f t="shared" si="7"/>
        <v>1037785.9861600001</v>
      </c>
    </row>
    <row r="32" spans="1:26" ht="16" thickBot="1">
      <c r="E32" s="12" t="s">
        <v>11</v>
      </c>
      <c r="F32" s="15">
        <f>C23</f>
        <v>644350</v>
      </c>
      <c r="G32" s="15">
        <f t="shared" si="3"/>
        <v>347949</v>
      </c>
      <c r="H32" s="15">
        <f t="shared" si="4"/>
        <v>992299</v>
      </c>
      <c r="I32" s="15">
        <f t="shared" si="5"/>
        <v>673887.00400000007</v>
      </c>
      <c r="J32" s="15">
        <f t="shared" si="6"/>
        <v>363898.98216000007</v>
      </c>
      <c r="K32" s="16">
        <f t="shared" si="7"/>
        <v>1037785.9861600001</v>
      </c>
    </row>
    <row r="33" spans="2:11" ht="16" thickBot="1">
      <c r="E33" s="21" t="s">
        <v>25</v>
      </c>
      <c r="F33" s="22">
        <v>1610875</v>
      </c>
      <c r="G33" s="22">
        <v>869872.5</v>
      </c>
      <c r="H33" s="22">
        <v>2480747.5</v>
      </c>
      <c r="I33" s="22">
        <v>1684717.5100000002</v>
      </c>
      <c r="J33" s="22">
        <v>909747.45540000021</v>
      </c>
      <c r="K33" s="23">
        <v>2594464.9654000006</v>
      </c>
    </row>
    <row r="34" spans="2:11" ht="16" thickBot="1">
      <c r="E34" s="17" t="s">
        <v>55</v>
      </c>
      <c r="F34" s="18">
        <f>C23*2.5</f>
        <v>1610875</v>
      </c>
      <c r="G34" s="19">
        <f t="shared" si="3"/>
        <v>869872.5</v>
      </c>
      <c r="H34" s="19">
        <f t="shared" ref="H34" si="8">G34+F34</f>
        <v>2480747.5</v>
      </c>
      <c r="I34" s="19">
        <f t="shared" ref="I34" si="9">F34*(1.04584)</f>
        <v>1684717.5100000002</v>
      </c>
      <c r="J34" s="19">
        <f t="shared" si="6"/>
        <v>909747.45540000021</v>
      </c>
      <c r="K34" s="20">
        <f t="shared" ref="K34" si="10">J34+I34</f>
        <v>2594464.9654000006</v>
      </c>
    </row>
    <row r="35" spans="2:11" ht="16" thickTop="1"/>
    <row r="41" spans="2:11" ht="16" thickBot="1"/>
    <row r="42" spans="2:11" ht="17" thickTop="1" thickBot="1">
      <c r="B42" s="46" t="s">
        <v>56</v>
      </c>
      <c r="C42" s="10" t="s">
        <v>19</v>
      </c>
      <c r="D42" s="10" t="s">
        <v>20</v>
      </c>
    </row>
    <row r="43" spans="2:11" ht="16" thickBot="1">
      <c r="B43" s="12" t="s">
        <v>4</v>
      </c>
      <c r="C43" s="47">
        <v>1500000</v>
      </c>
      <c r="D43" s="47">
        <f>C43*1.02988</f>
        <v>1544819.9999999998</v>
      </c>
    </row>
    <row r="44" spans="2:11" ht="16" thickBot="1">
      <c r="B44" s="12" t="s">
        <v>5</v>
      </c>
      <c r="C44" s="15">
        <v>320000</v>
      </c>
      <c r="D44" s="15">
        <f t="shared" ref="D44:D49" si="11">C44*1.02988</f>
        <v>329561.59999999998</v>
      </c>
    </row>
    <row r="45" spans="2:11" ht="16" thickBot="1">
      <c r="B45" s="12" t="s">
        <v>6</v>
      </c>
      <c r="C45" s="15">
        <v>220000</v>
      </c>
      <c r="D45" s="15">
        <f t="shared" si="11"/>
        <v>226573.59999999998</v>
      </c>
    </row>
    <row r="46" spans="2:11" ht="16" thickBot="1">
      <c r="B46" s="12" t="s">
        <v>7</v>
      </c>
      <c r="C46" s="15">
        <v>8000000</v>
      </c>
      <c r="D46" s="15">
        <f t="shared" si="11"/>
        <v>8239039.9999999991</v>
      </c>
    </row>
    <row r="47" spans="2:11" ht="16" thickBot="1">
      <c r="B47" s="12" t="s">
        <v>8</v>
      </c>
      <c r="C47" s="15">
        <v>1300000</v>
      </c>
      <c r="D47" s="15">
        <f t="shared" si="11"/>
        <v>1338843.9999999998</v>
      </c>
    </row>
    <row r="48" spans="2:11" ht="16" thickBot="1">
      <c r="B48" s="12" t="s">
        <v>11</v>
      </c>
      <c r="C48" s="15">
        <v>1300000</v>
      </c>
      <c r="D48" s="15">
        <f t="shared" si="11"/>
        <v>1338843.9999999998</v>
      </c>
    </row>
    <row r="49" spans="2:7" ht="16" thickBot="1">
      <c r="B49" s="12" t="s">
        <v>58</v>
      </c>
      <c r="C49" s="15">
        <v>1000</v>
      </c>
      <c r="D49" s="15">
        <f t="shared" si="11"/>
        <v>1029.8799999999999</v>
      </c>
    </row>
    <row r="50" spans="2:7" ht="16" thickBot="1">
      <c r="B50" s="12" t="s">
        <v>9</v>
      </c>
      <c r="C50" s="48">
        <v>0.1</v>
      </c>
      <c r="D50" s="49"/>
      <c r="E50" s="4">
        <v>1500000</v>
      </c>
      <c r="F50" s="55">
        <v>0.2</v>
      </c>
      <c r="G50" s="8">
        <f>E50*F50*C50</f>
        <v>30000</v>
      </c>
    </row>
    <row r="51" spans="2:7" ht="16" thickBot="1">
      <c r="B51" s="12" t="s">
        <v>10</v>
      </c>
      <c r="C51" s="48">
        <v>0.02</v>
      </c>
      <c r="D51" s="49"/>
      <c r="E51" s="4">
        <v>1050000</v>
      </c>
      <c r="F51" s="8">
        <f>E51*1.02988</f>
        <v>1081374</v>
      </c>
    </row>
    <row r="52" spans="2:7">
      <c r="C52" s="4"/>
    </row>
    <row r="54" spans="2:7">
      <c r="B54" s="2" t="s">
        <v>62</v>
      </c>
      <c r="C54" s="4">
        <v>2000000</v>
      </c>
      <c r="D54" s="8">
        <f>C54*1.02988</f>
        <v>2059759.9999999998</v>
      </c>
    </row>
    <row r="55" spans="2:7">
      <c r="B55" s="2" t="s">
        <v>63</v>
      </c>
      <c r="C55" s="4">
        <v>120000</v>
      </c>
      <c r="D55" s="8">
        <f>C55*1.02988</f>
        <v>123585.59999999999</v>
      </c>
    </row>
    <row r="58" spans="2:7">
      <c r="B58" s="2" t="s">
        <v>69</v>
      </c>
      <c r="C58" s="55">
        <v>0.3</v>
      </c>
    </row>
    <row r="59" spans="2:7">
      <c r="B59" s="2" t="s">
        <v>72</v>
      </c>
      <c r="C59" s="55">
        <v>0.85</v>
      </c>
    </row>
  </sheetData>
  <mergeCells count="5">
    <mergeCell ref="F22:H22"/>
    <mergeCell ref="I22:K22"/>
    <mergeCell ref="C50:D50"/>
    <mergeCell ref="C51:D51"/>
    <mergeCell ref="C42:D4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opLeftCell="A14" workbookViewId="0">
      <selection activeCell="C45" sqref="C45"/>
    </sheetView>
  </sheetViews>
  <sheetFormatPr baseColWidth="10" defaultRowHeight="15" x14ac:dyDescent="0"/>
  <cols>
    <col min="2" max="2" width="8.33203125" bestFit="1" customWidth="1"/>
    <col min="3" max="3" width="8.83203125" bestFit="1" customWidth="1"/>
    <col min="4" max="4" width="11.5" hidden="1" customWidth="1"/>
    <col min="5" max="5" width="14.83203125" bestFit="1" customWidth="1"/>
    <col min="6" max="6" width="12.6640625" hidden="1" customWidth="1"/>
    <col min="7" max="7" width="10.1640625" style="1" bestFit="1" customWidth="1"/>
    <col min="8" max="8" width="11.5" hidden="1" customWidth="1"/>
    <col min="9" max="9" width="15.33203125" bestFit="1" customWidth="1"/>
    <col min="10" max="10" width="13.1640625" hidden="1" customWidth="1"/>
    <col min="11" max="11" width="8.5" style="1" bestFit="1" customWidth="1"/>
    <col min="12" max="12" width="11.5" hidden="1" customWidth="1"/>
    <col min="13" max="13" width="11.33203125" customWidth="1"/>
    <col min="14" max="14" width="11.5" hidden="1" customWidth="1"/>
    <col min="15" max="15" width="11.1640625" customWidth="1"/>
    <col min="16" max="16" width="10" hidden="1" customWidth="1"/>
    <col min="17" max="17" width="6.1640625" customWidth="1"/>
    <col min="18" max="18" width="5.1640625" hidden="1" customWidth="1"/>
    <col min="19" max="19" width="16.5" customWidth="1"/>
    <col min="20" max="20" width="14" hidden="1" customWidth="1"/>
    <col min="21" max="21" width="10.6640625" customWidth="1"/>
    <col min="22" max="22" width="11.5" hidden="1" customWidth="1"/>
    <col min="23" max="23" width="10" bestFit="1" customWidth="1"/>
    <col min="24" max="24" width="11.5" hidden="1" customWidth="1"/>
    <col min="25" max="25" width="16" bestFit="1" customWidth="1"/>
  </cols>
  <sheetData>
    <row r="2" spans="1:26" ht="16" thickBot="1"/>
    <row r="3" spans="1:26" ht="30" customHeight="1" thickTop="1" thickBot="1">
      <c r="B3" s="24"/>
      <c r="C3" s="25" t="s">
        <v>13</v>
      </c>
      <c r="D3" s="25" t="s">
        <v>54</v>
      </c>
      <c r="E3" s="25" t="s">
        <v>14</v>
      </c>
      <c r="F3" s="26" t="s">
        <v>53</v>
      </c>
      <c r="G3" s="26" t="s">
        <v>15</v>
      </c>
      <c r="H3" s="25" t="s">
        <v>54</v>
      </c>
      <c r="I3" s="27" t="s">
        <v>27</v>
      </c>
      <c r="J3" s="27" t="s">
        <v>54</v>
      </c>
      <c r="K3" s="27" t="s">
        <v>16</v>
      </c>
      <c r="L3" s="27" t="s">
        <v>54</v>
      </c>
      <c r="M3" s="27" t="s">
        <v>17</v>
      </c>
      <c r="N3" s="27" t="s">
        <v>54</v>
      </c>
      <c r="O3" s="28" t="s">
        <v>18</v>
      </c>
      <c r="P3" s="28" t="s">
        <v>54</v>
      </c>
      <c r="Q3" s="28" t="s">
        <v>8</v>
      </c>
      <c r="R3" s="28"/>
      <c r="S3" s="27" t="s">
        <v>11</v>
      </c>
      <c r="T3" s="27"/>
      <c r="U3" s="27" t="s">
        <v>25</v>
      </c>
      <c r="V3" s="27"/>
      <c r="W3" s="27" t="s">
        <v>55</v>
      </c>
      <c r="X3" s="27"/>
      <c r="Y3" s="29" t="s">
        <v>28</v>
      </c>
    </row>
    <row r="4" spans="1:26" ht="16" thickBot="1">
      <c r="A4">
        <v>1</v>
      </c>
      <c r="B4" s="30" t="s">
        <v>29</v>
      </c>
      <c r="C4" s="31">
        <v>1</v>
      </c>
      <c r="D4" s="32">
        <f>C4*Hoja1!$H$24</f>
        <v>3969196</v>
      </c>
      <c r="E4" s="31">
        <f>ROUND(Hoja1!C12/6,0)</f>
        <v>1</v>
      </c>
      <c r="F4" s="32">
        <f>E4*Hoja1!$H$25</f>
        <v>2282287.7000000002</v>
      </c>
      <c r="G4" s="31">
        <v>1</v>
      </c>
      <c r="H4" s="33">
        <f>G4*Hoja1!$H$26</f>
        <v>2480747.5</v>
      </c>
      <c r="I4" s="31">
        <v>1</v>
      </c>
      <c r="J4" s="33">
        <f>I4*Hoja1!$H$27</f>
        <v>992299</v>
      </c>
      <c r="K4" s="31">
        <v>1</v>
      </c>
      <c r="L4" s="33">
        <f>K4*Hoja1!$H$28</f>
        <v>2480747.5</v>
      </c>
      <c r="M4" s="31">
        <v>1</v>
      </c>
      <c r="N4" s="33">
        <f>M4*Hoja1!$H$29</f>
        <v>1488448.5</v>
      </c>
      <c r="O4" s="31">
        <v>1</v>
      </c>
      <c r="P4" s="33">
        <f>O4*Hoja1!$H$30</f>
        <v>992299</v>
      </c>
      <c r="Q4" s="31">
        <f>Hoja1!C16+1</f>
        <v>3</v>
      </c>
      <c r="R4" s="33">
        <f>Q4*Hoja1!$H$31</f>
        <v>2976897</v>
      </c>
      <c r="S4" s="31">
        <f>ROUND(Hoja1!C19/3,0)</f>
        <v>1</v>
      </c>
      <c r="T4" s="33">
        <f>S4*Hoja1!$H$32</f>
        <v>992299</v>
      </c>
      <c r="U4" s="31">
        <v>1</v>
      </c>
      <c r="V4" s="33">
        <f>U4*Hoja1!$H$34</f>
        <v>2480747.5</v>
      </c>
      <c r="W4" s="34">
        <v>1</v>
      </c>
      <c r="X4" s="35">
        <f>W4*Hoja1!$H$34</f>
        <v>2480747.5</v>
      </c>
      <c r="Y4" s="36">
        <f>D4+F4+H4+J4+L4+N4+P4+R4+T4+V4+X4</f>
        <v>23616716.199999999</v>
      </c>
      <c r="Z4">
        <f>C4+E4+G4+I4+K4+M4+O4+Q4+S4+U4</f>
        <v>12</v>
      </c>
    </row>
    <row r="5" spans="1:26" ht="16" thickBot="1">
      <c r="A5">
        <v>1</v>
      </c>
      <c r="B5" s="30" t="s">
        <v>30</v>
      </c>
      <c r="C5" s="31">
        <v>1</v>
      </c>
      <c r="D5" s="32">
        <f>C5*Hoja1!$H$24</f>
        <v>3969196</v>
      </c>
      <c r="E5" s="31">
        <f>ROUND(Hoja1!D12/6,0)</f>
        <v>1</v>
      </c>
      <c r="F5" s="32">
        <f>E5*Hoja1!$H$25</f>
        <v>2282287.7000000002</v>
      </c>
      <c r="G5" s="31">
        <v>1</v>
      </c>
      <c r="H5" s="33">
        <f>G5*Hoja1!$H$26</f>
        <v>2480747.5</v>
      </c>
      <c r="I5" s="31">
        <v>1</v>
      </c>
      <c r="J5" s="33">
        <f>I5*Hoja1!$H$27</f>
        <v>992299</v>
      </c>
      <c r="K5" s="31">
        <v>1</v>
      </c>
      <c r="L5" s="33">
        <f>K5*Hoja1!$H$28</f>
        <v>2480747.5</v>
      </c>
      <c r="M5" s="31">
        <v>1</v>
      </c>
      <c r="N5" s="33">
        <f>M5*Hoja1!$H$29</f>
        <v>1488448.5</v>
      </c>
      <c r="O5" s="31">
        <v>1</v>
      </c>
      <c r="P5" s="33">
        <f>O5*Hoja1!$H$30</f>
        <v>992299</v>
      </c>
      <c r="Q5" s="37">
        <f>Hoja1!D16+1</f>
        <v>4</v>
      </c>
      <c r="R5" s="33">
        <f>Q5*Hoja1!$H$31</f>
        <v>3969196</v>
      </c>
      <c r="S5" s="31">
        <f>ROUND(Hoja1!D19/3,0)</f>
        <v>1</v>
      </c>
      <c r="T5" s="33">
        <f>S5*Hoja1!$H$32</f>
        <v>992299</v>
      </c>
      <c r="U5" s="31">
        <v>1</v>
      </c>
      <c r="V5" s="33">
        <f>U5*Hoja1!$H$34</f>
        <v>2480747.5</v>
      </c>
      <c r="W5" s="34">
        <v>1</v>
      </c>
      <c r="X5" s="35">
        <f>W5*Hoja1!$H$34</f>
        <v>2480747.5</v>
      </c>
      <c r="Y5" s="36">
        <f>D5+F5+H5+J5+L5+N5+P5+R5+T5+V5+X5</f>
        <v>24609015.199999999</v>
      </c>
      <c r="Z5">
        <f t="shared" ref="Z5:Z27" si="0">C5+E5+G5+I5+K5+M5+O5+Q5+S5+U5</f>
        <v>13</v>
      </c>
    </row>
    <row r="6" spans="1:26" ht="16" thickBot="1">
      <c r="A6">
        <v>1</v>
      </c>
      <c r="B6" s="30" t="s">
        <v>31</v>
      </c>
      <c r="C6" s="31">
        <v>1</v>
      </c>
      <c r="D6" s="32">
        <f>C6*Hoja1!$H$24</f>
        <v>3969196</v>
      </c>
      <c r="E6" s="31">
        <f>ROUND(Hoja1!E12/6,0)</f>
        <v>1</v>
      </c>
      <c r="F6" s="32">
        <f>E6*Hoja1!$H$25</f>
        <v>2282287.7000000002</v>
      </c>
      <c r="G6" s="31">
        <v>1</v>
      </c>
      <c r="H6" s="33">
        <f>G6*Hoja1!$H$26</f>
        <v>2480747.5</v>
      </c>
      <c r="I6" s="31">
        <v>1</v>
      </c>
      <c r="J6" s="33">
        <f>I6*Hoja1!$H$27</f>
        <v>992299</v>
      </c>
      <c r="K6" s="31">
        <v>1</v>
      </c>
      <c r="L6" s="33">
        <f>K6*Hoja1!$H$28</f>
        <v>2480747.5</v>
      </c>
      <c r="M6" s="31">
        <v>1</v>
      </c>
      <c r="N6" s="33">
        <f>M6*Hoja1!$H$29</f>
        <v>1488448.5</v>
      </c>
      <c r="O6" s="31">
        <v>1</v>
      </c>
      <c r="P6" s="33">
        <f>O6*Hoja1!$H$30</f>
        <v>992299</v>
      </c>
      <c r="Q6" s="37">
        <f>Hoja1!E16+1</f>
        <v>4</v>
      </c>
      <c r="R6" s="33">
        <f>Q6*Hoja1!$H$31</f>
        <v>3969196</v>
      </c>
      <c r="S6" s="31">
        <f>ROUND(Hoja1!E19/3,0)</f>
        <v>1</v>
      </c>
      <c r="T6" s="33">
        <f>S6*Hoja1!$H$32</f>
        <v>992299</v>
      </c>
      <c r="U6" s="31">
        <v>1</v>
      </c>
      <c r="V6" s="33">
        <f>U6*Hoja1!$H$34</f>
        <v>2480747.5</v>
      </c>
      <c r="W6" s="34">
        <v>1</v>
      </c>
      <c r="X6" s="35">
        <f>W6*Hoja1!$H$34</f>
        <v>2480747.5</v>
      </c>
      <c r="Y6" s="36">
        <f t="shared" ref="Y6:Y27" si="1">D6+F6+H6+J6+L6+N6+P6+R6+T6+V6+X6</f>
        <v>24609015.199999999</v>
      </c>
      <c r="Z6">
        <f t="shared" si="0"/>
        <v>13</v>
      </c>
    </row>
    <row r="7" spans="1:26" ht="16" thickBot="1">
      <c r="A7">
        <v>1</v>
      </c>
      <c r="B7" s="30" t="s">
        <v>32</v>
      </c>
      <c r="C7" s="31">
        <v>1</v>
      </c>
      <c r="D7" s="32">
        <f>C7*Hoja1!$H$24</f>
        <v>3969196</v>
      </c>
      <c r="E7" s="31">
        <f>ROUND(Hoja1!F12/6,0)</f>
        <v>1</v>
      </c>
      <c r="F7" s="32">
        <f>E7*Hoja1!$H$25</f>
        <v>2282287.7000000002</v>
      </c>
      <c r="G7" s="31">
        <v>1</v>
      </c>
      <c r="H7" s="33">
        <f>G7*Hoja1!$H$26</f>
        <v>2480747.5</v>
      </c>
      <c r="I7" s="31">
        <v>1</v>
      </c>
      <c r="J7" s="33">
        <f>I7*Hoja1!$H$27</f>
        <v>992299</v>
      </c>
      <c r="K7" s="31">
        <v>1</v>
      </c>
      <c r="L7" s="33">
        <f>K7*Hoja1!$H$28</f>
        <v>2480747.5</v>
      </c>
      <c r="M7" s="31">
        <v>1</v>
      </c>
      <c r="N7" s="33">
        <f>M7*Hoja1!$H$29</f>
        <v>1488448.5</v>
      </c>
      <c r="O7" s="31">
        <f>ROUND(Hoja1!F12/15,0)</f>
        <v>1</v>
      </c>
      <c r="P7" s="33">
        <f>O7*Hoja1!$H$30</f>
        <v>992299</v>
      </c>
      <c r="Q7" s="37">
        <f>Hoja1!F16+1</f>
        <v>5</v>
      </c>
      <c r="R7" s="33">
        <f>Q7*Hoja1!$H$31</f>
        <v>4961495</v>
      </c>
      <c r="S7" s="31">
        <f>ROUND(Hoja1!F19/3,0)</f>
        <v>1</v>
      </c>
      <c r="T7" s="33">
        <f>S7*Hoja1!$H$32</f>
        <v>992299</v>
      </c>
      <c r="U7" s="31">
        <v>1</v>
      </c>
      <c r="V7" s="33">
        <f>U7*Hoja1!$H$34</f>
        <v>2480747.5</v>
      </c>
      <c r="W7" s="34">
        <v>1</v>
      </c>
      <c r="X7" s="35">
        <f>W7*Hoja1!$H$34</f>
        <v>2480747.5</v>
      </c>
      <c r="Y7" s="36">
        <f t="shared" si="1"/>
        <v>25601314.199999999</v>
      </c>
      <c r="Z7">
        <f t="shared" si="0"/>
        <v>14</v>
      </c>
    </row>
    <row r="8" spans="1:26" ht="16" thickBot="1">
      <c r="A8">
        <v>2</v>
      </c>
      <c r="B8" s="30" t="s">
        <v>33</v>
      </c>
      <c r="C8" s="31">
        <v>1</v>
      </c>
      <c r="D8" s="32">
        <f>C8*Hoja1!$H$24</f>
        <v>3969196</v>
      </c>
      <c r="E8" s="31">
        <f>ROUND(Hoja1!G12/6,0)</f>
        <v>2</v>
      </c>
      <c r="F8" s="32">
        <f>E8*Hoja1!$H$25</f>
        <v>4564575.4000000004</v>
      </c>
      <c r="G8" s="31">
        <f>ROUND(Hoja1!G13/20,0)</f>
        <v>1</v>
      </c>
      <c r="H8" s="33">
        <f>G8*Hoja1!$H$26</f>
        <v>2480747.5</v>
      </c>
      <c r="I8" s="31">
        <v>2</v>
      </c>
      <c r="J8" s="33">
        <f>I8*Hoja1!$H$27</f>
        <v>1984598</v>
      </c>
      <c r="K8" s="31">
        <f>ROUND(Hoja1!G14/30,0)</f>
        <v>0</v>
      </c>
      <c r="L8" s="33">
        <f>K8*Hoja1!$H$28</f>
        <v>0</v>
      </c>
      <c r="M8" s="31">
        <v>1</v>
      </c>
      <c r="N8" s="33">
        <f>M8*Hoja1!$H$29</f>
        <v>1488448.5</v>
      </c>
      <c r="O8" s="31">
        <f>ROUND(Hoja1!G12/15,0)</f>
        <v>1</v>
      </c>
      <c r="P8" s="33">
        <f>O8*Hoja1!$H$30</f>
        <v>992299</v>
      </c>
      <c r="Q8" s="37">
        <f>Hoja1!G16+1</f>
        <v>6</v>
      </c>
      <c r="R8" s="33">
        <f>Q8*Hoja1!$H$31</f>
        <v>5953794</v>
      </c>
      <c r="S8" s="31">
        <f>ROUND(Hoja1!G19/3,0)</f>
        <v>2</v>
      </c>
      <c r="T8" s="33">
        <f>S8*Hoja1!$H$32</f>
        <v>1984598</v>
      </c>
      <c r="U8" s="31">
        <v>1</v>
      </c>
      <c r="V8" s="33">
        <f>U8*Hoja1!$H$34</f>
        <v>2480747.5</v>
      </c>
      <c r="W8" s="34">
        <v>1</v>
      </c>
      <c r="X8" s="35">
        <f>W8*Hoja1!$H$34</f>
        <v>2480747.5</v>
      </c>
      <c r="Y8" s="36">
        <f t="shared" si="1"/>
        <v>28379751.399999999</v>
      </c>
      <c r="Z8">
        <f t="shared" si="0"/>
        <v>17</v>
      </c>
    </row>
    <row r="9" spans="1:26" ht="16" thickBot="1">
      <c r="A9">
        <v>2</v>
      </c>
      <c r="B9" s="30" t="s">
        <v>34</v>
      </c>
      <c r="C9" s="31">
        <v>1</v>
      </c>
      <c r="D9" s="32">
        <f>C9*Hoja1!$H$24</f>
        <v>3969196</v>
      </c>
      <c r="E9" s="31">
        <f>ROUND(Hoja1!H12/6,0)</f>
        <v>2</v>
      </c>
      <c r="F9" s="32">
        <f>E9*Hoja1!$H$25</f>
        <v>4564575.4000000004</v>
      </c>
      <c r="G9" s="31">
        <f>ROUND(Hoja1!H13/20,0)</f>
        <v>1</v>
      </c>
      <c r="H9" s="33">
        <f>G9*Hoja1!$H$26</f>
        <v>2480747.5</v>
      </c>
      <c r="I9" s="31">
        <v>2</v>
      </c>
      <c r="J9" s="33">
        <f>I9*Hoja1!$H$27</f>
        <v>1984598</v>
      </c>
      <c r="K9" s="31">
        <f>ROUND(Hoja1!H14/30,0)</f>
        <v>0</v>
      </c>
      <c r="L9" s="33">
        <f>K9*Hoja1!$H$28</f>
        <v>0</v>
      </c>
      <c r="M9" s="31">
        <v>1</v>
      </c>
      <c r="N9" s="33">
        <f>M9*Hoja1!$H$29</f>
        <v>1488448.5</v>
      </c>
      <c r="O9" s="31">
        <f>ROUND(Hoja1!H12/15,0)</f>
        <v>1</v>
      </c>
      <c r="P9" s="33">
        <f>O9*Hoja1!$H$30</f>
        <v>992299</v>
      </c>
      <c r="Q9" s="37">
        <f>Hoja1!H16+1</f>
        <v>7</v>
      </c>
      <c r="R9" s="33">
        <f>Q9*Hoja1!$H$31</f>
        <v>6946093</v>
      </c>
      <c r="S9" s="31">
        <f>ROUND(Hoja1!H19/3,0)</f>
        <v>2</v>
      </c>
      <c r="T9" s="33">
        <f>S9*Hoja1!$H$32</f>
        <v>1984598</v>
      </c>
      <c r="U9" s="31">
        <v>1</v>
      </c>
      <c r="V9" s="33">
        <f>U9*Hoja1!$H$34</f>
        <v>2480747.5</v>
      </c>
      <c r="W9" s="34">
        <v>1</v>
      </c>
      <c r="X9" s="35">
        <f>W9*Hoja1!$H$34</f>
        <v>2480747.5</v>
      </c>
      <c r="Y9" s="36">
        <f t="shared" si="1"/>
        <v>29372050.399999999</v>
      </c>
      <c r="Z9">
        <f t="shared" si="0"/>
        <v>18</v>
      </c>
    </row>
    <row r="10" spans="1:26" ht="16" thickBot="1">
      <c r="A10">
        <v>2</v>
      </c>
      <c r="B10" s="30" t="s">
        <v>35</v>
      </c>
      <c r="C10" s="31">
        <v>1</v>
      </c>
      <c r="D10" s="32">
        <f>C10*Hoja1!$H$24</f>
        <v>3969196</v>
      </c>
      <c r="E10" s="31">
        <f>ROUND(Hoja1!I12/6,0)</f>
        <v>2</v>
      </c>
      <c r="F10" s="32">
        <f>E10*Hoja1!$H$25</f>
        <v>4564575.4000000004</v>
      </c>
      <c r="G10" s="31">
        <f>ROUND(Hoja1!I13/20,0)</f>
        <v>1</v>
      </c>
      <c r="H10" s="33">
        <f>G10*Hoja1!$H$26</f>
        <v>2480747.5</v>
      </c>
      <c r="I10" s="31">
        <v>2</v>
      </c>
      <c r="J10" s="33">
        <f>I10*Hoja1!$H$27</f>
        <v>1984598</v>
      </c>
      <c r="K10" s="31">
        <f>ROUND(Hoja1!I14/30,0)</f>
        <v>0</v>
      </c>
      <c r="L10" s="33">
        <f>K10*Hoja1!$H$28</f>
        <v>0</v>
      </c>
      <c r="M10" s="31">
        <v>1</v>
      </c>
      <c r="N10" s="33">
        <f>M10*Hoja1!$H$29</f>
        <v>1488448.5</v>
      </c>
      <c r="O10" s="31">
        <f>ROUND(Hoja1!I12/15,0)</f>
        <v>1</v>
      </c>
      <c r="P10" s="33">
        <f>O10*Hoja1!$H$30</f>
        <v>992299</v>
      </c>
      <c r="Q10" s="37">
        <f>Hoja1!I16+1</f>
        <v>8</v>
      </c>
      <c r="R10" s="33">
        <f>Q10*Hoja1!$H$31</f>
        <v>7938392</v>
      </c>
      <c r="S10" s="31">
        <f>ROUND(Hoja1!I19/3,0)</f>
        <v>2</v>
      </c>
      <c r="T10" s="33">
        <f>S10*Hoja1!$H$32</f>
        <v>1984598</v>
      </c>
      <c r="U10" s="31">
        <v>1</v>
      </c>
      <c r="V10" s="33">
        <f>U10*Hoja1!$H$34</f>
        <v>2480747.5</v>
      </c>
      <c r="W10" s="34">
        <v>1</v>
      </c>
      <c r="X10" s="35">
        <f>W10*Hoja1!$H$34</f>
        <v>2480747.5</v>
      </c>
      <c r="Y10" s="36">
        <f t="shared" si="1"/>
        <v>30364349.399999999</v>
      </c>
      <c r="Z10">
        <f t="shared" si="0"/>
        <v>19</v>
      </c>
    </row>
    <row r="11" spans="1:26" ht="16" thickBot="1">
      <c r="A11">
        <v>3</v>
      </c>
      <c r="B11" s="30" t="s">
        <v>36</v>
      </c>
      <c r="C11" s="31">
        <v>1</v>
      </c>
      <c r="D11" s="32">
        <f>C11*Hoja1!$H$24</f>
        <v>3969196</v>
      </c>
      <c r="E11" s="31">
        <f>ROUND(Hoja1!J12/6,0)</f>
        <v>3</v>
      </c>
      <c r="F11" s="32">
        <f>E11*Hoja1!$H$25</f>
        <v>6846863.1000000006</v>
      </c>
      <c r="G11" s="31">
        <f>ROUND(Hoja1!J13/20,0)</f>
        <v>1</v>
      </c>
      <c r="H11" s="33">
        <f>G11*Hoja1!$H$26</f>
        <v>2480747.5</v>
      </c>
      <c r="I11" s="31">
        <v>3</v>
      </c>
      <c r="J11" s="33">
        <f>I11*Hoja1!$H$27</f>
        <v>2976897</v>
      </c>
      <c r="K11" s="31">
        <f>ROUND(Hoja1!J14/30,0)</f>
        <v>0</v>
      </c>
      <c r="L11" s="33">
        <f>K11*Hoja1!$H$28</f>
        <v>0</v>
      </c>
      <c r="M11" s="31">
        <v>1</v>
      </c>
      <c r="N11" s="33">
        <f>M11*Hoja1!$H$29</f>
        <v>1488448.5</v>
      </c>
      <c r="O11" s="31">
        <f>ROUND(Hoja1!J12/15,0)</f>
        <v>1</v>
      </c>
      <c r="P11" s="33">
        <f>O11*Hoja1!$H$30</f>
        <v>992299</v>
      </c>
      <c r="Q11" s="37">
        <f>Hoja1!J16+1</f>
        <v>9</v>
      </c>
      <c r="R11" s="33">
        <f>Q11*Hoja1!$H$31</f>
        <v>8930691</v>
      </c>
      <c r="S11" s="31">
        <f>ROUND(Hoja1!J19/3,0)</f>
        <v>3</v>
      </c>
      <c r="T11" s="33">
        <f>S11*Hoja1!$H$32</f>
        <v>2976897</v>
      </c>
      <c r="U11" s="31">
        <v>1</v>
      </c>
      <c r="V11" s="33">
        <f>U11*Hoja1!$H$34</f>
        <v>2480747.5</v>
      </c>
      <c r="W11" s="34">
        <v>1</v>
      </c>
      <c r="X11" s="35">
        <f>W11*Hoja1!$H$34</f>
        <v>2480747.5</v>
      </c>
      <c r="Y11" s="36">
        <f t="shared" si="1"/>
        <v>35623534.100000001</v>
      </c>
      <c r="Z11">
        <f t="shared" si="0"/>
        <v>23</v>
      </c>
    </row>
    <row r="12" spans="1:26" ht="16" thickBot="1">
      <c r="A12">
        <v>3</v>
      </c>
      <c r="B12" s="30" t="s">
        <v>37</v>
      </c>
      <c r="C12" s="31">
        <v>1</v>
      </c>
      <c r="D12" s="32">
        <f>C12*Hoja1!$H$24</f>
        <v>3969196</v>
      </c>
      <c r="E12" s="31">
        <f>ROUND(Hoja1!K12/6,0)</f>
        <v>3</v>
      </c>
      <c r="F12" s="32">
        <f>E12*Hoja1!$H$25</f>
        <v>6846863.1000000006</v>
      </c>
      <c r="G12" s="31">
        <f>ROUND(Hoja1!K13/20,0)</f>
        <v>1</v>
      </c>
      <c r="H12" s="33">
        <f>G12*Hoja1!$H$26</f>
        <v>2480747.5</v>
      </c>
      <c r="I12" s="31">
        <v>3</v>
      </c>
      <c r="J12" s="33">
        <f>I12*Hoja1!$H$27</f>
        <v>2976897</v>
      </c>
      <c r="K12" s="31">
        <f>ROUND(Hoja1!K14/30,0)</f>
        <v>0</v>
      </c>
      <c r="L12" s="33">
        <f>K12*Hoja1!$H$28</f>
        <v>0</v>
      </c>
      <c r="M12" s="31">
        <v>1</v>
      </c>
      <c r="N12" s="33">
        <f>M12*Hoja1!$H$29</f>
        <v>1488448.5</v>
      </c>
      <c r="O12" s="31">
        <f>ROUND(Hoja1!K12/15,0)</f>
        <v>1</v>
      </c>
      <c r="P12" s="33">
        <f>O12*Hoja1!$H$30</f>
        <v>992299</v>
      </c>
      <c r="Q12" s="37">
        <f>Hoja1!K16+1</f>
        <v>11</v>
      </c>
      <c r="R12" s="33">
        <f>Q12*Hoja1!$H$31</f>
        <v>10915289</v>
      </c>
      <c r="S12" s="31">
        <f>ROUND(Hoja1!K19/3,0)</f>
        <v>3</v>
      </c>
      <c r="T12" s="33">
        <f>S12*Hoja1!$H$32</f>
        <v>2976897</v>
      </c>
      <c r="U12" s="31">
        <v>1</v>
      </c>
      <c r="V12" s="33">
        <f>U12*Hoja1!$H$34</f>
        <v>2480747.5</v>
      </c>
      <c r="W12" s="34">
        <v>1</v>
      </c>
      <c r="X12" s="35">
        <f>W12*Hoja1!$H$34</f>
        <v>2480747.5</v>
      </c>
      <c r="Y12" s="36">
        <f t="shared" si="1"/>
        <v>37608132.100000001</v>
      </c>
      <c r="Z12">
        <f t="shared" si="0"/>
        <v>25</v>
      </c>
    </row>
    <row r="13" spans="1:26" ht="16" thickBot="1">
      <c r="A13">
        <v>4</v>
      </c>
      <c r="B13" s="30" t="s">
        <v>38</v>
      </c>
      <c r="C13" s="31">
        <v>1</v>
      </c>
      <c r="D13" s="32">
        <f>C13*Hoja1!$H$24</f>
        <v>3969196</v>
      </c>
      <c r="E13" s="31">
        <f>ROUND(Hoja1!L12/6,0)</f>
        <v>4</v>
      </c>
      <c r="F13" s="32">
        <f>E13*Hoja1!$H$25</f>
        <v>9129150.8000000007</v>
      </c>
      <c r="G13" s="31">
        <f>ROUND(Hoja1!L13/20,0)</f>
        <v>1</v>
      </c>
      <c r="H13" s="33">
        <f>G13*Hoja1!$H$26</f>
        <v>2480747.5</v>
      </c>
      <c r="I13" s="31">
        <v>4</v>
      </c>
      <c r="J13" s="33">
        <f>I13*Hoja1!$H$27</f>
        <v>3969196</v>
      </c>
      <c r="K13" s="31">
        <f>ROUND(Hoja1!L14/30,0)</f>
        <v>0</v>
      </c>
      <c r="L13" s="33">
        <f>K13*Hoja1!$H$28</f>
        <v>0</v>
      </c>
      <c r="M13" s="31">
        <v>1</v>
      </c>
      <c r="N13" s="33">
        <f>M13*Hoja1!$H$29</f>
        <v>1488448.5</v>
      </c>
      <c r="O13" s="31">
        <f>ROUND(Hoja1!L12/15,0)</f>
        <v>2</v>
      </c>
      <c r="P13" s="33">
        <f>O13*Hoja1!$H$30</f>
        <v>1984598</v>
      </c>
      <c r="Q13" s="37">
        <f>Hoja1!L16+1</f>
        <v>13</v>
      </c>
      <c r="R13" s="33">
        <f>Q13*Hoja1!$H$31</f>
        <v>12899887</v>
      </c>
      <c r="S13" s="31">
        <f>ROUND(Hoja1!L19/3,0)</f>
        <v>4</v>
      </c>
      <c r="T13" s="33">
        <f>S13*Hoja1!$H$32</f>
        <v>3969196</v>
      </c>
      <c r="U13" s="31">
        <v>1</v>
      </c>
      <c r="V13" s="33">
        <f>U13*Hoja1!$H$34</f>
        <v>2480747.5</v>
      </c>
      <c r="W13" s="34">
        <v>1</v>
      </c>
      <c r="X13" s="35">
        <f>W13*Hoja1!$H$34</f>
        <v>2480747.5</v>
      </c>
      <c r="Y13" s="36">
        <f t="shared" si="1"/>
        <v>44851914.799999997</v>
      </c>
      <c r="Z13">
        <f t="shared" si="0"/>
        <v>31</v>
      </c>
    </row>
    <row r="14" spans="1:26" ht="16" thickBot="1">
      <c r="A14">
        <v>5</v>
      </c>
      <c r="B14" s="30" t="s">
        <v>39</v>
      </c>
      <c r="C14" s="31">
        <v>1</v>
      </c>
      <c r="D14" s="32">
        <f>C14*Hoja1!$H$24</f>
        <v>3969196</v>
      </c>
      <c r="E14" s="31">
        <f>ROUND(Hoja1!M12/6,0)</f>
        <v>5</v>
      </c>
      <c r="F14" s="32">
        <f>E14*Hoja1!$H$25</f>
        <v>11411438.5</v>
      </c>
      <c r="G14" s="31">
        <f>ROUND(Hoja1!M13/20,0)</f>
        <v>1</v>
      </c>
      <c r="H14" s="33">
        <f>G14*Hoja1!$H$26</f>
        <v>2480747.5</v>
      </c>
      <c r="I14" s="31">
        <v>5</v>
      </c>
      <c r="J14" s="33">
        <f>I14*Hoja1!$H$27</f>
        <v>4961495</v>
      </c>
      <c r="K14" s="31">
        <f>ROUND(Hoja1!M14/30,0)</f>
        <v>1</v>
      </c>
      <c r="L14" s="33">
        <f>K14*Hoja1!$H$28</f>
        <v>2480747.5</v>
      </c>
      <c r="M14" s="31">
        <v>1</v>
      </c>
      <c r="N14" s="33">
        <f>M14*Hoja1!$H$29</f>
        <v>1488448.5</v>
      </c>
      <c r="O14" s="31">
        <f>ROUND(Hoja1!M12/15,0)</f>
        <v>2</v>
      </c>
      <c r="P14" s="33">
        <f>O14*Hoja1!$H$30</f>
        <v>1984598</v>
      </c>
      <c r="Q14" s="37">
        <f>Hoja1!M16+1</f>
        <v>15</v>
      </c>
      <c r="R14" s="33">
        <f>Q14*Hoja1!$H$31</f>
        <v>14884485</v>
      </c>
      <c r="S14" s="31">
        <f>ROUND(Hoja1!M19/3,0)</f>
        <v>5</v>
      </c>
      <c r="T14" s="33">
        <f>S14*Hoja1!$H$32</f>
        <v>4961495</v>
      </c>
      <c r="U14" s="31">
        <v>1</v>
      </c>
      <c r="V14" s="33">
        <f>U14*Hoja1!$H$34</f>
        <v>2480747.5</v>
      </c>
      <c r="W14" s="34">
        <v>1</v>
      </c>
      <c r="X14" s="35">
        <f>W14*Hoja1!$H$34</f>
        <v>2480747.5</v>
      </c>
      <c r="Y14" s="36">
        <f t="shared" si="1"/>
        <v>53584146</v>
      </c>
      <c r="Z14">
        <f t="shared" si="0"/>
        <v>37</v>
      </c>
    </row>
    <row r="15" spans="1:26" ht="16" thickBot="1">
      <c r="A15">
        <v>6</v>
      </c>
      <c r="B15" s="30" t="s">
        <v>40</v>
      </c>
      <c r="C15" s="31">
        <v>1</v>
      </c>
      <c r="D15" s="32">
        <f>C15*Hoja1!$H$24</f>
        <v>3969196</v>
      </c>
      <c r="E15" s="31">
        <f>ROUND(Hoja1!N12/6,0)</f>
        <v>6</v>
      </c>
      <c r="F15" s="32">
        <f>E15*Hoja1!$H$25</f>
        <v>13693726.200000001</v>
      </c>
      <c r="G15" s="31">
        <f>ROUND(Hoja1!N13/20,0)</f>
        <v>2</v>
      </c>
      <c r="H15" s="33">
        <f>G15*Hoja1!$H$26</f>
        <v>4961495</v>
      </c>
      <c r="I15" s="31">
        <v>6</v>
      </c>
      <c r="J15" s="33">
        <f>I15*Hoja1!$H$27</f>
        <v>5953794</v>
      </c>
      <c r="K15" s="31">
        <f>ROUND(Hoja1!N14/30,0)</f>
        <v>1</v>
      </c>
      <c r="L15" s="33">
        <f>K15*Hoja1!$H$28</f>
        <v>2480747.5</v>
      </c>
      <c r="M15" s="31">
        <v>1</v>
      </c>
      <c r="N15" s="33">
        <f>M15*Hoja1!$H$29</f>
        <v>1488448.5</v>
      </c>
      <c r="O15" s="31">
        <f>ROUND(Hoja1!N12/15,0)</f>
        <v>2</v>
      </c>
      <c r="P15" s="33">
        <f>O15*Hoja1!$H$30</f>
        <v>1984598</v>
      </c>
      <c r="Q15" s="37">
        <f>Hoja1!N16+1</f>
        <v>18</v>
      </c>
      <c r="R15" s="33">
        <f>Q15*Hoja1!$H$31</f>
        <v>17861382</v>
      </c>
      <c r="S15" s="31">
        <f>ROUND(Hoja1!N19/3,0)</f>
        <v>6</v>
      </c>
      <c r="T15" s="33">
        <f>S15*Hoja1!$H$32</f>
        <v>5953794</v>
      </c>
      <c r="U15" s="31">
        <v>1</v>
      </c>
      <c r="V15" s="33">
        <f>U15*Hoja1!$H$34</f>
        <v>2480747.5</v>
      </c>
      <c r="W15" s="34">
        <v>1</v>
      </c>
      <c r="X15" s="35">
        <f>W15*Hoja1!$H$34</f>
        <v>2480747.5</v>
      </c>
      <c r="Y15" s="36">
        <f t="shared" si="1"/>
        <v>63308676.200000003</v>
      </c>
      <c r="Z15">
        <f t="shared" si="0"/>
        <v>44</v>
      </c>
    </row>
    <row r="16" spans="1:26" ht="16" thickBot="1">
      <c r="A16">
        <v>6</v>
      </c>
      <c r="B16" s="30" t="s">
        <v>41</v>
      </c>
      <c r="C16" s="31">
        <v>1</v>
      </c>
      <c r="D16" s="32">
        <f>C16*Hoja1!$K$24</f>
        <v>4151143.9446400004</v>
      </c>
      <c r="E16" s="31">
        <f>ROUND(Hoja1!O12/6,0)</f>
        <v>6</v>
      </c>
      <c r="F16" s="32">
        <f>E16*Hoja1!$K$25</f>
        <v>14321446.609007999</v>
      </c>
      <c r="G16" s="31">
        <f>ROUND(Hoja1!O13/20,0)</f>
        <v>2</v>
      </c>
      <c r="H16" s="33">
        <f>G16*Hoja1!$K$26</f>
        <v>5188929.9308000011</v>
      </c>
      <c r="I16" s="31">
        <v>6</v>
      </c>
      <c r="J16" s="33">
        <f>I16*Hoja1!$K$27</f>
        <v>6226715.916960001</v>
      </c>
      <c r="K16" s="31">
        <f>ROUND(Hoja1!O14/30,0)</f>
        <v>1</v>
      </c>
      <c r="L16" s="33">
        <f>K16*Hoja1!$K$28</f>
        <v>2594464.9654000006</v>
      </c>
      <c r="M16" s="31">
        <v>1</v>
      </c>
      <c r="N16" s="33">
        <f>M16*Hoja1!$K$29</f>
        <v>1556678.9792400002</v>
      </c>
      <c r="O16" s="31">
        <f>ROUND(Hoja1!O12/15,0)</f>
        <v>3</v>
      </c>
      <c r="P16" s="33">
        <f>O16*Hoja1!$K$30</f>
        <v>3113357.9584800005</v>
      </c>
      <c r="Q16" s="37">
        <f>Hoja1!O16+1</f>
        <v>20</v>
      </c>
      <c r="R16" s="33">
        <f>Q16*Hoja1!$K$31</f>
        <v>20755719.723200001</v>
      </c>
      <c r="S16" s="31">
        <f>ROUND(Hoja1!O19/3,0)</f>
        <v>6</v>
      </c>
      <c r="T16" s="33">
        <f>S16*Hoja1!$K$32</f>
        <v>6226715.916960001</v>
      </c>
      <c r="U16" s="31">
        <v>1</v>
      </c>
      <c r="V16" s="33">
        <f>U16*Hoja1!$K$34</f>
        <v>2594464.9654000006</v>
      </c>
      <c r="W16" s="34">
        <v>1</v>
      </c>
      <c r="X16" s="35">
        <f>W16*Hoja1!$K$34</f>
        <v>2594464.9654000006</v>
      </c>
      <c r="Y16" s="36">
        <f t="shared" si="1"/>
        <v>69324103.875487998</v>
      </c>
      <c r="Z16">
        <f t="shared" si="0"/>
        <v>47</v>
      </c>
    </row>
    <row r="17" spans="1:26" ht="16" thickBot="1">
      <c r="A17">
        <v>7</v>
      </c>
      <c r="B17" s="30" t="s">
        <v>42</v>
      </c>
      <c r="C17" s="31">
        <v>1</v>
      </c>
      <c r="D17" s="32">
        <f>C17*Hoja1!$K$24</f>
        <v>4151143.9446400004</v>
      </c>
      <c r="E17" s="31">
        <f>ROUND(Hoja1!P12/6,0)</f>
        <v>7</v>
      </c>
      <c r="F17" s="32">
        <f>E17*Hoja1!$K$25</f>
        <v>16708354.377176</v>
      </c>
      <c r="G17" s="31">
        <f>ROUND(Hoja1!P13/20,0)</f>
        <v>2</v>
      </c>
      <c r="H17" s="33">
        <f>G17*Hoja1!$K$26</f>
        <v>5188929.9308000011</v>
      </c>
      <c r="I17" s="31">
        <v>7</v>
      </c>
      <c r="J17" s="33">
        <f>I17*Hoja1!$K$27</f>
        <v>7264501.9031200008</v>
      </c>
      <c r="K17" s="31">
        <f>ROUND(Hoja1!P14/30,0)</f>
        <v>1</v>
      </c>
      <c r="L17" s="33">
        <f>K17*Hoja1!$K$28</f>
        <v>2594464.9654000006</v>
      </c>
      <c r="M17" s="31">
        <v>1</v>
      </c>
      <c r="N17" s="33">
        <f>M17*Hoja1!$K$29</f>
        <v>1556678.9792400002</v>
      </c>
      <c r="O17" s="31">
        <f>ROUND(Hoja1!P12/15,0)</f>
        <v>3</v>
      </c>
      <c r="P17" s="33">
        <f>O17*Hoja1!$K$30</f>
        <v>3113357.9584800005</v>
      </c>
      <c r="Q17" s="31">
        <f>Hoja1!P16+1</f>
        <v>21</v>
      </c>
      <c r="R17" s="33">
        <f>Q17*Hoja1!$K$31</f>
        <v>21793505.709360003</v>
      </c>
      <c r="S17" s="31">
        <f>ROUND(Hoja1!P19/3,0)</f>
        <v>7</v>
      </c>
      <c r="T17" s="33">
        <f>S17*Hoja1!$K$32</f>
        <v>7264501.9031200008</v>
      </c>
      <c r="U17" s="31">
        <v>1</v>
      </c>
      <c r="V17" s="33">
        <f>U17*Hoja1!$K$34</f>
        <v>2594464.9654000006</v>
      </c>
      <c r="W17" s="34">
        <v>1</v>
      </c>
      <c r="X17" s="35">
        <f>W17*Hoja1!$K$34</f>
        <v>2594464.9654000006</v>
      </c>
      <c r="Y17" s="36">
        <f t="shared" si="1"/>
        <v>74824369.602136001</v>
      </c>
      <c r="Z17">
        <f t="shared" si="0"/>
        <v>51</v>
      </c>
    </row>
    <row r="18" spans="1:26" ht="16" thickBot="1">
      <c r="A18">
        <v>7</v>
      </c>
      <c r="B18" s="30" t="s">
        <v>43</v>
      </c>
      <c r="C18" s="31">
        <v>1</v>
      </c>
      <c r="D18" s="32">
        <f>C18*Hoja1!$K$24</f>
        <v>4151143.9446400004</v>
      </c>
      <c r="E18" s="31">
        <f>ROUND(Hoja1!Q12/6,0)</f>
        <v>7</v>
      </c>
      <c r="F18" s="32">
        <f>E18*Hoja1!$K$25</f>
        <v>16708354.377176</v>
      </c>
      <c r="G18" s="31">
        <f>ROUND(Hoja1!Q13/20,0)</f>
        <v>2</v>
      </c>
      <c r="H18" s="33">
        <f>G18*Hoja1!$K$26</f>
        <v>5188929.9308000011</v>
      </c>
      <c r="I18" s="31">
        <v>7</v>
      </c>
      <c r="J18" s="33">
        <f>I18*Hoja1!$K$27</f>
        <v>7264501.9031200008</v>
      </c>
      <c r="K18" s="31">
        <f>ROUND(Hoja1!Q14/30,0)</f>
        <v>1</v>
      </c>
      <c r="L18" s="33">
        <f>K18*Hoja1!$K$28</f>
        <v>2594464.9654000006</v>
      </c>
      <c r="M18" s="31">
        <v>1</v>
      </c>
      <c r="N18" s="33">
        <f>M18*Hoja1!$K$29</f>
        <v>1556678.9792400002</v>
      </c>
      <c r="O18" s="31">
        <f>ROUND(Hoja1!Q12/15,0)</f>
        <v>3</v>
      </c>
      <c r="P18" s="33">
        <f>O18*Hoja1!$K$30</f>
        <v>3113357.9584800005</v>
      </c>
      <c r="Q18" s="31">
        <f>Hoja1!Q16+1</f>
        <v>23</v>
      </c>
      <c r="R18" s="33">
        <f>Q18*Hoja1!$K$31</f>
        <v>23869077.681680001</v>
      </c>
      <c r="S18" s="31">
        <f>ROUND(Hoja1!Q19/3,0)</f>
        <v>7</v>
      </c>
      <c r="T18" s="33">
        <f>S18*Hoja1!$K$32</f>
        <v>7264501.9031200008</v>
      </c>
      <c r="U18" s="31">
        <v>1</v>
      </c>
      <c r="V18" s="33">
        <f>U18*Hoja1!$K$34</f>
        <v>2594464.9654000006</v>
      </c>
      <c r="W18" s="34">
        <v>1</v>
      </c>
      <c r="X18" s="35">
        <f>W18*Hoja1!$K$34</f>
        <v>2594464.9654000006</v>
      </c>
      <c r="Y18" s="36">
        <f t="shared" si="1"/>
        <v>76899941.574455991</v>
      </c>
      <c r="Z18">
        <f t="shared" si="0"/>
        <v>53</v>
      </c>
    </row>
    <row r="19" spans="1:26" ht="16" thickBot="1">
      <c r="A19">
        <v>8</v>
      </c>
      <c r="B19" s="30" t="s">
        <v>44</v>
      </c>
      <c r="C19" s="31">
        <v>1</v>
      </c>
      <c r="D19" s="32">
        <f>C19*Hoja1!$K$24</f>
        <v>4151143.9446400004</v>
      </c>
      <c r="E19" s="31">
        <f>ROUND(Hoja1!R12/6,0)</f>
        <v>8</v>
      </c>
      <c r="F19" s="32">
        <f>E19*Hoja1!$K$25</f>
        <v>19095262.145344</v>
      </c>
      <c r="G19" s="31">
        <f>ROUND(Hoja1!R13/20,0)</f>
        <v>2</v>
      </c>
      <c r="H19" s="33">
        <f>G19*Hoja1!$K$26</f>
        <v>5188929.9308000011</v>
      </c>
      <c r="I19" s="31">
        <v>8</v>
      </c>
      <c r="J19" s="33">
        <f>I19*Hoja1!$K$27</f>
        <v>8302287.8892800007</v>
      </c>
      <c r="K19" s="31">
        <f>ROUND(Hoja1!R14/30,0)</f>
        <v>1</v>
      </c>
      <c r="L19" s="33">
        <f>K19*Hoja1!$K$28</f>
        <v>2594464.9654000006</v>
      </c>
      <c r="M19" s="31">
        <v>1</v>
      </c>
      <c r="N19" s="33">
        <f>M19*Hoja1!$K$29</f>
        <v>1556678.9792400002</v>
      </c>
      <c r="O19" s="31">
        <f>ROUND(Hoja1!R12/15,0)</f>
        <v>3</v>
      </c>
      <c r="P19" s="33">
        <f>O19*Hoja1!$K$30</f>
        <v>3113357.9584800005</v>
      </c>
      <c r="Q19" s="31">
        <f>Hoja1!R16+1</f>
        <v>25</v>
      </c>
      <c r="R19" s="33">
        <f>Q19*Hoja1!$K$31</f>
        <v>25944649.654000003</v>
      </c>
      <c r="S19" s="31">
        <f>ROUND(Hoja1!R19/3,0)</f>
        <v>8</v>
      </c>
      <c r="T19" s="33">
        <f>S19*Hoja1!$K$32</f>
        <v>8302287.8892800007</v>
      </c>
      <c r="U19" s="31">
        <v>1</v>
      </c>
      <c r="V19" s="33">
        <f>U19*Hoja1!$K$34</f>
        <v>2594464.9654000006</v>
      </c>
      <c r="W19" s="34">
        <v>1</v>
      </c>
      <c r="X19" s="35">
        <f>W19*Hoja1!$K$34</f>
        <v>2594464.9654000006</v>
      </c>
      <c r="Y19" s="36">
        <f t="shared" si="1"/>
        <v>83437993.287264004</v>
      </c>
      <c r="Z19">
        <f t="shared" si="0"/>
        <v>58</v>
      </c>
    </row>
    <row r="20" spans="1:26" ht="16" thickBot="1">
      <c r="A20">
        <v>9</v>
      </c>
      <c r="B20" s="30" t="s">
        <v>45</v>
      </c>
      <c r="C20" s="31">
        <v>1</v>
      </c>
      <c r="D20" s="32">
        <f>C20*Hoja1!$K$24</f>
        <v>4151143.9446400004</v>
      </c>
      <c r="E20" s="31">
        <f>ROUND(Hoja1!S12/6,0)</f>
        <v>9</v>
      </c>
      <c r="F20" s="32">
        <f>E20*Hoja1!$K$25</f>
        <v>21482169.913511999</v>
      </c>
      <c r="G20" s="31">
        <f>ROUND(Hoja1!S13/20,0)</f>
        <v>3</v>
      </c>
      <c r="H20" s="33">
        <f>G20*Hoja1!$K$26</f>
        <v>7783394.8962000012</v>
      </c>
      <c r="I20" s="31">
        <v>9</v>
      </c>
      <c r="J20" s="33">
        <f>I20*Hoja1!$K$27</f>
        <v>9340073.8754400015</v>
      </c>
      <c r="K20" s="31">
        <f>ROUND(Hoja1!S14/30,0)</f>
        <v>1</v>
      </c>
      <c r="L20" s="33">
        <f>K20*Hoja1!$K$28</f>
        <v>2594464.9654000006</v>
      </c>
      <c r="M20" s="31">
        <v>1</v>
      </c>
      <c r="N20" s="33">
        <f>M20*Hoja1!$K$29</f>
        <v>1556678.9792400002</v>
      </c>
      <c r="O20" s="31">
        <f>ROUND(Hoja1!S12/15,0)</f>
        <v>3</v>
      </c>
      <c r="P20" s="33">
        <f>O20*Hoja1!$K$30</f>
        <v>3113357.9584800005</v>
      </c>
      <c r="Q20" s="31">
        <f>Hoja1!S16+1</f>
        <v>27</v>
      </c>
      <c r="R20" s="33">
        <f>Q20*Hoja1!$K$31</f>
        <v>28020221.626320001</v>
      </c>
      <c r="S20" s="31">
        <f>ROUND(Hoja1!S19/3,0)</f>
        <v>9</v>
      </c>
      <c r="T20" s="33">
        <f>S20*Hoja1!$K$32</f>
        <v>9340073.8754400015</v>
      </c>
      <c r="U20" s="31">
        <v>1</v>
      </c>
      <c r="V20" s="33">
        <f>U20*Hoja1!$K$34</f>
        <v>2594464.9654000006</v>
      </c>
      <c r="W20" s="34">
        <v>1</v>
      </c>
      <c r="X20" s="35">
        <f>W20*Hoja1!$K$34</f>
        <v>2594464.9654000006</v>
      </c>
      <c r="Y20" s="36">
        <f t="shared" si="1"/>
        <v>92570509.965471998</v>
      </c>
      <c r="Z20">
        <f t="shared" si="0"/>
        <v>64</v>
      </c>
    </row>
    <row r="21" spans="1:26" ht="16" thickBot="1">
      <c r="A21">
        <v>9</v>
      </c>
      <c r="B21" s="30" t="s">
        <v>46</v>
      </c>
      <c r="C21" s="31">
        <v>1</v>
      </c>
      <c r="D21" s="32">
        <f>C21*Hoja1!$K$24</f>
        <v>4151143.9446400004</v>
      </c>
      <c r="E21" s="31">
        <f>ROUND(Hoja1!T12/6,0)</f>
        <v>9</v>
      </c>
      <c r="F21" s="32">
        <f>E21*Hoja1!$K$25</f>
        <v>21482169.913511999</v>
      </c>
      <c r="G21" s="31">
        <f>ROUND(Hoja1!T13/20,0)</f>
        <v>3</v>
      </c>
      <c r="H21" s="33">
        <f>G21*Hoja1!$K$26</f>
        <v>7783394.8962000012</v>
      </c>
      <c r="I21" s="31">
        <v>9</v>
      </c>
      <c r="J21" s="33">
        <f>I21*Hoja1!$K$27</f>
        <v>9340073.8754400015</v>
      </c>
      <c r="K21" s="31">
        <f>ROUND(Hoja1!T14/30,0)</f>
        <v>1</v>
      </c>
      <c r="L21" s="33">
        <f>K21*Hoja1!$K$28</f>
        <v>2594464.9654000006</v>
      </c>
      <c r="M21" s="31">
        <v>1</v>
      </c>
      <c r="N21" s="33">
        <f>M21*Hoja1!$K$29</f>
        <v>1556678.9792400002</v>
      </c>
      <c r="O21" s="31">
        <f>ROUND(Hoja1!T12/15,0)</f>
        <v>4</v>
      </c>
      <c r="P21" s="33">
        <f>O21*Hoja1!$K$30</f>
        <v>4151143.9446400004</v>
      </c>
      <c r="Q21" s="31">
        <f>Hoja1!T16+1</f>
        <v>29</v>
      </c>
      <c r="R21" s="33">
        <f>Q21*Hoja1!$K$31</f>
        <v>30095793.598640002</v>
      </c>
      <c r="S21" s="31">
        <f>ROUND(Hoja1!T19/3,0)</f>
        <v>9</v>
      </c>
      <c r="T21" s="33">
        <f>S21*Hoja1!$K$32</f>
        <v>9340073.8754400015</v>
      </c>
      <c r="U21" s="31">
        <v>1</v>
      </c>
      <c r="V21" s="33">
        <f>U21*Hoja1!$K$34</f>
        <v>2594464.9654000006</v>
      </c>
      <c r="W21" s="34">
        <v>1</v>
      </c>
      <c r="X21" s="35">
        <f>W21*Hoja1!$K$34</f>
        <v>2594464.9654000006</v>
      </c>
      <c r="Y21" s="36">
        <f t="shared" si="1"/>
        <v>95683867.923952013</v>
      </c>
      <c r="Z21">
        <f t="shared" si="0"/>
        <v>67</v>
      </c>
    </row>
    <row r="22" spans="1:26" ht="16" thickBot="1">
      <c r="A22">
        <v>10</v>
      </c>
      <c r="B22" s="30" t="s">
        <v>47</v>
      </c>
      <c r="C22" s="31">
        <v>1</v>
      </c>
      <c r="D22" s="32">
        <f>C22*Hoja1!$K$24</f>
        <v>4151143.9446400004</v>
      </c>
      <c r="E22" s="31">
        <f>ROUND(Hoja1!U12/6,0)</f>
        <v>10</v>
      </c>
      <c r="F22" s="32">
        <f>E22*Hoja1!$K$25</f>
        <v>23869077.681680001</v>
      </c>
      <c r="G22" s="31">
        <f>ROUND(Hoja1!U13/20,0)</f>
        <v>3</v>
      </c>
      <c r="H22" s="33">
        <f>G22*Hoja1!$K$26</f>
        <v>7783394.8962000012</v>
      </c>
      <c r="I22" s="31">
        <v>10</v>
      </c>
      <c r="J22" s="33">
        <f>I22*Hoja1!$K$27</f>
        <v>10377859.8616</v>
      </c>
      <c r="K22" s="31">
        <f>ROUND(Hoja1!U14/30,0)</f>
        <v>1</v>
      </c>
      <c r="L22" s="33">
        <f>K22*Hoja1!$K$28</f>
        <v>2594464.9654000006</v>
      </c>
      <c r="M22" s="31">
        <v>1</v>
      </c>
      <c r="N22" s="33">
        <f>M22*Hoja1!$K$29</f>
        <v>1556678.9792400002</v>
      </c>
      <c r="O22" s="31">
        <f>ROUND(Hoja1!U12/15,0)</f>
        <v>4</v>
      </c>
      <c r="P22" s="33">
        <f>O22*Hoja1!$K$30</f>
        <v>4151143.9446400004</v>
      </c>
      <c r="Q22" s="31">
        <f>Hoja1!U16+1</f>
        <v>31</v>
      </c>
      <c r="R22" s="33">
        <f>Q22*Hoja1!$K$31</f>
        <v>32171365.570960004</v>
      </c>
      <c r="S22" s="31">
        <f>ROUND(Hoja1!U19/3,0)</f>
        <v>10</v>
      </c>
      <c r="T22" s="33">
        <f>S22*Hoja1!$K$32</f>
        <v>10377859.8616</v>
      </c>
      <c r="U22" s="31">
        <v>1</v>
      </c>
      <c r="V22" s="33">
        <f>U22*Hoja1!$K$34</f>
        <v>2594464.9654000006</v>
      </c>
      <c r="W22" s="34">
        <v>1</v>
      </c>
      <c r="X22" s="35">
        <f>W22*Hoja1!$K$34</f>
        <v>2594464.9654000006</v>
      </c>
      <c r="Y22" s="36">
        <f t="shared" si="1"/>
        <v>102221919.63676</v>
      </c>
      <c r="Z22">
        <f t="shared" si="0"/>
        <v>72</v>
      </c>
    </row>
    <row r="23" spans="1:26" ht="16" thickBot="1">
      <c r="A23">
        <v>11</v>
      </c>
      <c r="B23" s="30" t="s">
        <v>48</v>
      </c>
      <c r="C23" s="31">
        <v>1</v>
      </c>
      <c r="D23" s="32">
        <f>C23*Hoja1!$K$24</f>
        <v>4151143.9446400004</v>
      </c>
      <c r="E23" s="31">
        <f>ROUND(Hoja1!V12/6,0)</f>
        <v>11</v>
      </c>
      <c r="F23" s="32">
        <f>E23*Hoja1!$K$25</f>
        <v>26255985.449848</v>
      </c>
      <c r="G23" s="31">
        <f>ROUND(Hoja1!V13/20,0)</f>
        <v>3</v>
      </c>
      <c r="H23" s="33">
        <f>G23*Hoja1!$K$26</f>
        <v>7783394.8962000012</v>
      </c>
      <c r="I23" s="31">
        <v>11</v>
      </c>
      <c r="J23" s="33">
        <f>I23*Hoja1!$K$27</f>
        <v>11415645.847760001</v>
      </c>
      <c r="K23" s="31">
        <f>ROUND(Hoja1!V14/30,0)</f>
        <v>1</v>
      </c>
      <c r="L23" s="33">
        <f>K23*Hoja1!$K$28</f>
        <v>2594464.9654000006</v>
      </c>
      <c r="M23" s="31">
        <v>1</v>
      </c>
      <c r="N23" s="33">
        <f>M23*Hoja1!$K$29</f>
        <v>1556678.9792400002</v>
      </c>
      <c r="O23" s="31">
        <f>ROUND(Hoja1!V12/15,0)</f>
        <v>4</v>
      </c>
      <c r="P23" s="33">
        <f>O23*Hoja1!$K$30</f>
        <v>4151143.9446400004</v>
      </c>
      <c r="Q23" s="31">
        <f>Hoja1!V16+1</f>
        <v>33</v>
      </c>
      <c r="R23" s="33">
        <f>Q23*Hoja1!$K$31</f>
        <v>34246937.543280005</v>
      </c>
      <c r="S23" s="31">
        <f>ROUND(Hoja1!V19/3,0)</f>
        <v>11</v>
      </c>
      <c r="T23" s="33">
        <f>S23*Hoja1!$K$32</f>
        <v>11415645.847760001</v>
      </c>
      <c r="U23" s="31">
        <v>1</v>
      </c>
      <c r="V23" s="33">
        <f>U23*Hoja1!$K$34</f>
        <v>2594464.9654000006</v>
      </c>
      <c r="W23" s="34">
        <v>1</v>
      </c>
      <c r="X23" s="35">
        <f>W23*Hoja1!$K$34</f>
        <v>2594464.9654000006</v>
      </c>
      <c r="Y23" s="36">
        <f t="shared" si="1"/>
        <v>108759971.34956801</v>
      </c>
      <c r="Z23">
        <f t="shared" si="0"/>
        <v>77</v>
      </c>
    </row>
    <row r="24" spans="1:26" ht="16" thickBot="1">
      <c r="A24">
        <v>12</v>
      </c>
      <c r="B24" s="30" t="s">
        <v>49</v>
      </c>
      <c r="C24" s="31">
        <v>1</v>
      </c>
      <c r="D24" s="32">
        <f>C24*Hoja1!$K$24</f>
        <v>4151143.9446400004</v>
      </c>
      <c r="E24" s="31">
        <f>ROUND(Hoja1!W12/6,0)</f>
        <v>12</v>
      </c>
      <c r="F24" s="32">
        <f>E24*Hoja1!$K$25</f>
        <v>28642893.218015999</v>
      </c>
      <c r="G24" s="31">
        <f>ROUND(Hoja1!W13/20,0)</f>
        <v>4</v>
      </c>
      <c r="H24" s="33">
        <f>G24*Hoja1!$K$26</f>
        <v>10377859.861600002</v>
      </c>
      <c r="I24" s="31">
        <v>12</v>
      </c>
      <c r="J24" s="33">
        <f>I24*Hoja1!$K$27</f>
        <v>12453431.833920002</v>
      </c>
      <c r="K24" s="31">
        <f>ROUND(Hoja1!W14/30,0)</f>
        <v>1</v>
      </c>
      <c r="L24" s="33">
        <f>K24*Hoja1!$K$28</f>
        <v>2594464.9654000006</v>
      </c>
      <c r="M24" s="31">
        <v>1</v>
      </c>
      <c r="N24" s="33">
        <f>M24*Hoja1!$K$29</f>
        <v>1556678.9792400002</v>
      </c>
      <c r="O24" s="31">
        <f>ROUND(Hoja1!W12/15,0)</f>
        <v>5</v>
      </c>
      <c r="P24" s="33">
        <f>O24*Hoja1!$K$30</f>
        <v>5188929.9308000002</v>
      </c>
      <c r="Q24" s="31">
        <f>Hoja1!W16+1</f>
        <v>36</v>
      </c>
      <c r="R24" s="33">
        <f>Q24*Hoja1!$K$31</f>
        <v>37360295.501760006</v>
      </c>
      <c r="S24" s="31">
        <f>ROUND(Hoja1!W19/3,0)</f>
        <v>12</v>
      </c>
      <c r="T24" s="33">
        <f>S24*Hoja1!$K$32</f>
        <v>12453431.833920002</v>
      </c>
      <c r="U24" s="31">
        <v>1</v>
      </c>
      <c r="V24" s="33">
        <f>U24*Hoja1!$K$34</f>
        <v>2594464.9654000006</v>
      </c>
      <c r="W24" s="34">
        <v>1</v>
      </c>
      <c r="X24" s="35">
        <f>W24*Hoja1!$K$34</f>
        <v>2594464.9654000006</v>
      </c>
      <c r="Y24" s="36">
        <f t="shared" si="1"/>
        <v>119968060.00009599</v>
      </c>
      <c r="Z24">
        <f t="shared" si="0"/>
        <v>85</v>
      </c>
    </row>
    <row r="25" spans="1:26" ht="16" thickBot="1">
      <c r="A25">
        <v>13</v>
      </c>
      <c r="B25" s="30" t="s">
        <v>50</v>
      </c>
      <c r="C25" s="31">
        <v>1</v>
      </c>
      <c r="D25" s="32">
        <f>C25*Hoja1!$K$24</f>
        <v>4151143.9446400004</v>
      </c>
      <c r="E25" s="31">
        <f>ROUND(Hoja1!X12/6,0)</f>
        <v>13</v>
      </c>
      <c r="F25" s="32">
        <f>E25*Hoja1!$K$25</f>
        <v>31029800.986184001</v>
      </c>
      <c r="G25" s="31">
        <f>ROUND(Hoja1!X13/20,0)</f>
        <v>4</v>
      </c>
      <c r="H25" s="33">
        <f>G25*Hoja1!$K$26</f>
        <v>10377859.861600002</v>
      </c>
      <c r="I25" s="31">
        <v>13</v>
      </c>
      <c r="J25" s="33">
        <f>I25*Hoja1!$K$27</f>
        <v>13491217.820080001</v>
      </c>
      <c r="K25" s="31">
        <f>ROUND(Hoja1!X14/30,0)</f>
        <v>2</v>
      </c>
      <c r="L25" s="33">
        <f>K25*Hoja1!$K$28</f>
        <v>5188929.9308000011</v>
      </c>
      <c r="M25" s="31">
        <v>1</v>
      </c>
      <c r="N25" s="33">
        <f>M25*Hoja1!$K$29</f>
        <v>1556678.9792400002</v>
      </c>
      <c r="O25" s="31">
        <f>ROUND(Hoja1!X12/15,0)</f>
        <v>5</v>
      </c>
      <c r="P25" s="33">
        <f>O25*Hoja1!$K$30</f>
        <v>5188929.9308000002</v>
      </c>
      <c r="Q25" s="31">
        <f>Hoja1!X16+1</f>
        <v>39</v>
      </c>
      <c r="R25" s="33">
        <f>Q25*Hoja1!$K$31</f>
        <v>40473653.460240006</v>
      </c>
      <c r="S25" s="31">
        <f>ROUND(Hoja1!X19/3,0)</f>
        <v>13</v>
      </c>
      <c r="T25" s="33">
        <f>S25*Hoja1!$K$32</f>
        <v>13491217.820080001</v>
      </c>
      <c r="U25" s="31">
        <v>1</v>
      </c>
      <c r="V25" s="33">
        <f>U25*Hoja1!$K$34</f>
        <v>2594464.9654000006</v>
      </c>
      <c r="W25" s="34">
        <v>1</v>
      </c>
      <c r="X25" s="35">
        <f>W25*Hoja1!$K$34</f>
        <v>2594464.9654000006</v>
      </c>
      <c r="Y25" s="36">
        <f t="shared" si="1"/>
        <v>130138362.664464</v>
      </c>
      <c r="Z25">
        <f t="shared" si="0"/>
        <v>92</v>
      </c>
    </row>
    <row r="26" spans="1:26" ht="16" thickBot="1">
      <c r="A26">
        <v>14</v>
      </c>
      <c r="B26" s="30" t="s">
        <v>51</v>
      </c>
      <c r="C26" s="31">
        <v>1</v>
      </c>
      <c r="D26" s="32">
        <f>C26*Hoja1!$K$24</f>
        <v>4151143.9446400004</v>
      </c>
      <c r="E26" s="31">
        <f>ROUND(Hoja1!Y12/6,0)</f>
        <v>14</v>
      </c>
      <c r="F26" s="32">
        <f>E26*Hoja1!$K$25</f>
        <v>33416708.754352</v>
      </c>
      <c r="G26" s="31">
        <f>ROUND(Hoja1!Y13/20,0)</f>
        <v>4</v>
      </c>
      <c r="H26" s="33">
        <f>G26*Hoja1!$K$26</f>
        <v>10377859.861600002</v>
      </c>
      <c r="I26" s="31">
        <v>14</v>
      </c>
      <c r="J26" s="33">
        <f>I26*Hoja1!$K$27</f>
        <v>14529003.806240002</v>
      </c>
      <c r="K26" s="31">
        <f>ROUND(Hoja1!Y14/30,0)</f>
        <v>2</v>
      </c>
      <c r="L26" s="33">
        <f>K26*Hoja1!$K$28</f>
        <v>5188929.9308000011</v>
      </c>
      <c r="M26" s="31">
        <v>1</v>
      </c>
      <c r="N26" s="33">
        <f>M26*Hoja1!$K$29</f>
        <v>1556678.9792400002</v>
      </c>
      <c r="O26" s="31">
        <f>ROUND(Hoja1!Y12/15,0)</f>
        <v>5</v>
      </c>
      <c r="P26" s="33">
        <f>O26*Hoja1!$K$30</f>
        <v>5188929.9308000002</v>
      </c>
      <c r="Q26" s="31">
        <f>Hoja1!Y16+1</f>
        <v>42</v>
      </c>
      <c r="R26" s="33">
        <f>Q26*Hoja1!$K$31</f>
        <v>43587011.418720007</v>
      </c>
      <c r="S26" s="31">
        <f>ROUND(Hoja1!Y19/3,0)</f>
        <v>14</v>
      </c>
      <c r="T26" s="33">
        <f>S26*Hoja1!$K$32</f>
        <v>14529003.806240002</v>
      </c>
      <c r="U26" s="31">
        <v>1</v>
      </c>
      <c r="V26" s="33">
        <f>U26*Hoja1!$K$34</f>
        <v>2594464.9654000006</v>
      </c>
      <c r="W26" s="34">
        <v>1</v>
      </c>
      <c r="X26" s="35">
        <f>W26*Hoja1!$K$34</f>
        <v>2594464.9654000006</v>
      </c>
      <c r="Y26" s="36">
        <f t="shared" si="1"/>
        <v>137714200.36343205</v>
      </c>
      <c r="Z26">
        <f t="shared" si="0"/>
        <v>98</v>
      </c>
    </row>
    <row r="27" spans="1:26" ht="16" thickBot="1">
      <c r="A27">
        <v>15</v>
      </c>
      <c r="B27" s="38" t="s">
        <v>52</v>
      </c>
      <c r="C27" s="39">
        <v>1</v>
      </c>
      <c r="D27" s="40">
        <f>C27*Hoja1!$K$24</f>
        <v>4151143.9446400004</v>
      </c>
      <c r="E27" s="39">
        <f>ROUND(Hoja1!Z12/6,0)</f>
        <v>15</v>
      </c>
      <c r="F27" s="40">
        <f>E27*Hoja1!$K$25</f>
        <v>35803616.522519998</v>
      </c>
      <c r="G27" s="39">
        <f>ROUND(Hoja1!Z13/20,0)</f>
        <v>4</v>
      </c>
      <c r="H27" s="41">
        <f>G27*Hoja1!$K$26</f>
        <v>10377859.861600002</v>
      </c>
      <c r="I27" s="39">
        <v>15</v>
      </c>
      <c r="J27" s="41">
        <f>I27*Hoja1!$K$27</f>
        <v>15566789.792400001</v>
      </c>
      <c r="K27" s="39">
        <f>ROUND(Hoja1!Z14/30,0)</f>
        <v>2</v>
      </c>
      <c r="L27" s="41">
        <f>K27*Hoja1!$K$28</f>
        <v>5188929.9308000011</v>
      </c>
      <c r="M27" s="39">
        <v>1</v>
      </c>
      <c r="N27" s="41">
        <f>M27*Hoja1!$K$29</f>
        <v>1556678.9792400002</v>
      </c>
      <c r="O27" s="39">
        <f>ROUND(Hoja1!Z12/15,0)</f>
        <v>6</v>
      </c>
      <c r="P27" s="41">
        <f>O27*Hoja1!$K$30</f>
        <v>6226715.916960001</v>
      </c>
      <c r="Q27" s="39">
        <f>Hoja1!Z16+1</f>
        <v>45</v>
      </c>
      <c r="R27" s="41">
        <f>Q27*Hoja1!$K$31</f>
        <v>46700369.377200007</v>
      </c>
      <c r="S27" s="39">
        <f>ROUND(Hoja1!Z19/3,0)</f>
        <v>15</v>
      </c>
      <c r="T27" s="41">
        <f>S27*Hoja1!$K$32</f>
        <v>15566789.792400001</v>
      </c>
      <c r="U27" s="39">
        <v>1</v>
      </c>
      <c r="V27" s="41">
        <f>U27*Hoja1!$K$34</f>
        <v>2594464.9654000006</v>
      </c>
      <c r="W27" s="42">
        <v>1</v>
      </c>
      <c r="X27" s="43">
        <f>W27*Hoja1!$K$34</f>
        <v>2594464.9654000006</v>
      </c>
      <c r="Y27" s="44">
        <f t="shared" si="1"/>
        <v>146327824.04856002</v>
      </c>
      <c r="Z27">
        <f t="shared" si="0"/>
        <v>105</v>
      </c>
    </row>
    <row r="28" spans="1:26" ht="16" thickTop="1"/>
    <row r="29" spans="1:26"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1</v>
      </c>
      <c r="J29">
        <v>0</v>
      </c>
      <c r="K29">
        <v>1</v>
      </c>
      <c r="L29">
        <v>1</v>
      </c>
      <c r="M29">
        <v>1</v>
      </c>
      <c r="N29">
        <v>0</v>
      </c>
      <c r="O29">
        <v>1</v>
      </c>
      <c r="P29">
        <v>0</v>
      </c>
      <c r="Q29">
        <v>1</v>
      </c>
      <c r="R29">
        <v>1</v>
      </c>
      <c r="S29">
        <v>0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</row>
    <row r="30" spans="1:26">
      <c r="B30">
        <v>1</v>
      </c>
      <c r="C30">
        <v>1</v>
      </c>
      <c r="D30">
        <v>1</v>
      </c>
      <c r="E30">
        <v>1</v>
      </c>
      <c r="F30">
        <v>2</v>
      </c>
      <c r="G30">
        <v>2</v>
      </c>
      <c r="H30">
        <v>2</v>
      </c>
      <c r="I30">
        <v>3</v>
      </c>
      <c r="J30">
        <v>3</v>
      </c>
      <c r="K30">
        <v>4</v>
      </c>
      <c r="L30">
        <v>5</v>
      </c>
      <c r="M30">
        <v>6</v>
      </c>
      <c r="N30">
        <v>6</v>
      </c>
      <c r="O30">
        <v>7</v>
      </c>
      <c r="P30">
        <v>7</v>
      </c>
      <c r="Q30">
        <v>8</v>
      </c>
      <c r="R30">
        <v>9</v>
      </c>
      <c r="S30">
        <v>9</v>
      </c>
      <c r="T30">
        <v>10</v>
      </c>
      <c r="U30">
        <v>11</v>
      </c>
      <c r="V30">
        <v>12</v>
      </c>
      <c r="W30">
        <v>13</v>
      </c>
      <c r="X30">
        <v>14</v>
      </c>
      <c r="Y30">
        <v>15</v>
      </c>
    </row>
  </sheetData>
  <pageMargins left="0.75" right="0.75" top="1" bottom="1" header="0.5" footer="0.5"/>
  <pageSetup orientation="portrait" horizontalDpi="4294967292" verticalDpi="4294967292"/>
  <ignoredErrors>
    <ignoredError sqref="E6 Q5 S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workbookViewId="0">
      <pane ySplit="1" topLeftCell="A2" activePane="bottomLeft" state="frozen"/>
      <selection pane="bottomLeft" activeCell="A31" sqref="A31"/>
    </sheetView>
  </sheetViews>
  <sheetFormatPr baseColWidth="10" defaultRowHeight="15" x14ac:dyDescent="0"/>
  <cols>
    <col min="1" max="1" width="63.33203125" style="4" bestFit="1" customWidth="1"/>
    <col min="2" max="2" width="18" style="4" bestFit="1" customWidth="1"/>
    <col min="3" max="4" width="14.83203125" style="4" bestFit="1" customWidth="1"/>
    <col min="5" max="10" width="13.6640625" style="4" bestFit="1" customWidth="1"/>
    <col min="11" max="11" width="14.6640625" style="4" bestFit="1" customWidth="1"/>
    <col min="12" max="26" width="14.83203125" style="4" bestFit="1" customWidth="1"/>
    <col min="27" max="27" width="13.6640625" style="4" bestFit="1" customWidth="1"/>
    <col min="28" max="16384" width="10.83203125" style="4"/>
  </cols>
  <sheetData>
    <row r="1" spans="1:26" s="64" customFormat="1">
      <c r="A1" s="63" t="s">
        <v>12</v>
      </c>
      <c r="B1" s="62">
        <v>0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>
        <v>7</v>
      </c>
      <c r="J1" s="62">
        <v>8</v>
      </c>
      <c r="K1" s="62">
        <v>9</v>
      </c>
      <c r="L1" s="62">
        <v>10</v>
      </c>
      <c r="M1" s="62">
        <v>11</v>
      </c>
      <c r="N1" s="62">
        <v>12</v>
      </c>
      <c r="O1" s="62">
        <v>13</v>
      </c>
      <c r="P1" s="62">
        <v>14</v>
      </c>
      <c r="Q1" s="62">
        <v>15</v>
      </c>
      <c r="R1" s="62">
        <v>16</v>
      </c>
      <c r="S1" s="62">
        <v>17</v>
      </c>
      <c r="T1" s="62">
        <v>18</v>
      </c>
      <c r="U1" s="62">
        <v>19</v>
      </c>
      <c r="V1" s="62">
        <v>20</v>
      </c>
      <c r="W1" s="62">
        <v>21</v>
      </c>
      <c r="X1" s="62">
        <v>22</v>
      </c>
      <c r="Y1" s="62">
        <v>23</v>
      </c>
      <c r="Z1" s="62">
        <v>24</v>
      </c>
    </row>
    <row r="2" spans="1:26" s="53" customFormat="1">
      <c r="A2" s="52" t="s">
        <v>57</v>
      </c>
      <c r="B2" s="52">
        <f>SUM(B3:B12)</f>
        <v>520000000</v>
      </c>
      <c r="C2" s="52">
        <f>SUM(C3:C12)</f>
        <v>23132000</v>
      </c>
      <c r="D2" s="52">
        <f t="shared" ref="D2:Z2" si="0">SUM(D3:D12)</f>
        <v>27572000</v>
      </c>
      <c r="E2" s="52">
        <f t="shared" si="0"/>
        <v>37632000</v>
      </c>
      <c r="F2" s="52">
        <f t="shared" si="0"/>
        <v>42093000</v>
      </c>
      <c r="G2" s="52">
        <f t="shared" si="0"/>
        <v>56864000</v>
      </c>
      <c r="H2" s="52">
        <f t="shared" si="0"/>
        <v>63364000</v>
      </c>
      <c r="I2" s="52">
        <f t="shared" si="0"/>
        <v>77885000</v>
      </c>
      <c r="J2" s="52">
        <f t="shared" si="0"/>
        <v>94496000</v>
      </c>
      <c r="K2" s="52">
        <f t="shared" si="0"/>
        <v>113728000</v>
      </c>
      <c r="L2" s="52">
        <f t="shared" si="0"/>
        <v>134749000</v>
      </c>
      <c r="M2" s="52">
        <f t="shared" si="0"/>
        <v>157881000</v>
      </c>
      <c r="N2" s="52">
        <f t="shared" si="0"/>
        <v>193724000</v>
      </c>
      <c r="O2" s="52">
        <f t="shared" si="0"/>
        <v>219033753</v>
      </c>
      <c r="P2" s="52">
        <f t="shared" si="0"/>
        <v>236140193.28</v>
      </c>
      <c r="Q2" s="52">
        <f t="shared" si="0"/>
        <v>255894321.55999994</v>
      </c>
      <c r="R2" s="52">
        <f t="shared" si="0"/>
        <v>277595056.51999998</v>
      </c>
      <c r="S2" s="52">
        <f t="shared" si="0"/>
        <v>299500737.5999999</v>
      </c>
      <c r="T2" s="52">
        <f t="shared" si="0"/>
        <v>321201472.56</v>
      </c>
      <c r="U2" s="52">
        <f t="shared" si="0"/>
        <v>351367821.11999995</v>
      </c>
      <c r="V2" s="52">
        <f t="shared" si="0"/>
        <v>375190108.88</v>
      </c>
      <c r="W2" s="52">
        <f t="shared" si="0"/>
        <v>409929124.63999993</v>
      </c>
      <c r="X2" s="52">
        <f t="shared" si="0"/>
        <v>438324079.59999996</v>
      </c>
      <c r="Y2" s="52">
        <f t="shared" si="0"/>
        <v>475184648.15999997</v>
      </c>
      <c r="Z2" s="52">
        <f t="shared" si="0"/>
        <v>513961823.39999992</v>
      </c>
    </row>
    <row r="3" spans="1:26">
      <c r="A3" s="4" t="s">
        <v>60</v>
      </c>
      <c r="B3" s="4">
        <f>Hoja1!E5</f>
        <v>520000000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</row>
    <row r="4" spans="1:26">
      <c r="A4" s="4" t="s">
        <v>4</v>
      </c>
      <c r="B4" s="4">
        <v>0</v>
      </c>
      <c r="C4" s="4">
        <f>Hoja1!$C$43*Hoja1!C12</f>
        <v>7500000</v>
      </c>
      <c r="D4" s="4">
        <f>Hoja1!$C$43*Hoja1!D12</f>
        <v>9000000</v>
      </c>
      <c r="E4" s="4">
        <f>Hoja1!$C$43*Hoja1!E12</f>
        <v>10500000</v>
      </c>
      <c r="F4" s="4">
        <f>Hoja1!$C$43*Hoja1!F12</f>
        <v>12000000</v>
      </c>
      <c r="G4" s="4">
        <f>Hoja1!$C$43*Hoja1!G12</f>
        <v>15000000</v>
      </c>
      <c r="H4" s="4">
        <f>Hoja1!$C$43*Hoja1!H12</f>
        <v>18000000</v>
      </c>
      <c r="I4" s="4">
        <f>Hoja1!$C$43*Hoja1!I12</f>
        <v>21000000</v>
      </c>
      <c r="J4" s="4">
        <f>Hoja1!$C$43*Hoja1!J12</f>
        <v>25500000</v>
      </c>
      <c r="K4" s="4">
        <f>Hoja1!$C$43*Hoja1!K12</f>
        <v>30000000</v>
      </c>
      <c r="L4" s="4">
        <f>Hoja1!$C$43*Hoja1!L12</f>
        <v>36000000</v>
      </c>
      <c r="M4" s="4">
        <f>Hoja1!$C$43*Hoja1!M12</f>
        <v>43500000</v>
      </c>
      <c r="N4" s="4">
        <f>Hoja1!$C$43*Hoja1!N12</f>
        <v>52500000</v>
      </c>
      <c r="O4" s="4">
        <f>Hoja1!$D$43*Hoja1!O12</f>
        <v>58703159.999999993</v>
      </c>
      <c r="P4" s="4">
        <f>Hoja1!$D$43*Hoja1!P12</f>
        <v>63337619.999999993</v>
      </c>
      <c r="Q4" s="4">
        <f>Hoja1!$D$43*Hoja1!Q12</f>
        <v>67972079.999999985</v>
      </c>
      <c r="R4" s="4">
        <f>Hoja1!$D$43*Hoja1!R12</f>
        <v>74151359.999999985</v>
      </c>
      <c r="S4" s="4">
        <f>Hoja1!$D$43*Hoja1!S12</f>
        <v>80330639.999999985</v>
      </c>
      <c r="T4" s="4">
        <f>Hoja1!$D$43*Hoja1!T12</f>
        <v>86509919.999999985</v>
      </c>
      <c r="U4" s="4">
        <f>Hoja1!$D$43*Hoja1!U12</f>
        <v>92689199.999999985</v>
      </c>
      <c r="V4" s="4">
        <f>Hoja1!$D$43*Hoja1!V12</f>
        <v>100413299.99999999</v>
      </c>
      <c r="W4" s="4">
        <f>Hoja1!$D$43*Hoja1!W12</f>
        <v>108137399.99999999</v>
      </c>
      <c r="X4" s="4">
        <f>Hoja1!$D$43*Hoja1!X12</f>
        <v>117406319.99999999</v>
      </c>
      <c r="Y4" s="4">
        <f>Hoja1!$D$43*Hoja1!Y12</f>
        <v>126675239.99999999</v>
      </c>
      <c r="Z4" s="4">
        <f>Hoja1!$D$43*Hoja1!Z12</f>
        <v>137488979.99999997</v>
      </c>
    </row>
    <row r="5" spans="1:26">
      <c r="A5" s="4" t="s">
        <v>5</v>
      </c>
      <c r="B5" s="4">
        <v>0</v>
      </c>
      <c r="C5" s="4">
        <f>Hoja1!$C$44*Hoja1!C13</f>
        <v>1600000</v>
      </c>
      <c r="D5" s="4">
        <f>Hoja1!$C$44*Hoja1!D13</f>
        <v>1920000</v>
      </c>
      <c r="E5" s="4">
        <f>Hoja1!$C$44*Hoja1!E13</f>
        <v>2240000</v>
      </c>
      <c r="F5" s="4">
        <f>Hoja1!$C$44*Hoja1!F13</f>
        <v>2560000</v>
      </c>
      <c r="G5" s="4">
        <f>Hoja1!$C$44*Hoja1!G13</f>
        <v>3200000</v>
      </c>
      <c r="H5" s="4">
        <f>Hoja1!$C$44*Hoja1!H13</f>
        <v>3840000</v>
      </c>
      <c r="I5" s="4">
        <f>Hoja1!$C$44*Hoja1!I13</f>
        <v>4480000</v>
      </c>
      <c r="J5" s="4">
        <f>Hoja1!$C$44*Hoja1!J13</f>
        <v>5440000</v>
      </c>
      <c r="K5" s="4">
        <f>Hoja1!$C$44*Hoja1!K13</f>
        <v>6400000</v>
      </c>
      <c r="L5" s="4">
        <f>Hoja1!$C$44*Hoja1!L13</f>
        <v>7680000</v>
      </c>
      <c r="M5" s="4">
        <f>Hoja1!$C$44*Hoja1!M13</f>
        <v>9280000</v>
      </c>
      <c r="N5" s="4">
        <f>Hoja1!$C$44*Hoja1!N13</f>
        <v>11200000</v>
      </c>
      <c r="O5" s="4">
        <f>Hoja1!$D$44*Hoja1!O13</f>
        <v>12523340.799999999</v>
      </c>
      <c r="P5" s="4">
        <f>Hoja1!$D$44*Hoja1!P13</f>
        <v>13512025.6</v>
      </c>
      <c r="Q5" s="4">
        <f>Hoja1!$D$44*Hoja1!Q13</f>
        <v>14500710.399999999</v>
      </c>
      <c r="R5" s="4">
        <f>Hoja1!$D$44*Hoja1!R13</f>
        <v>15818956.799999999</v>
      </c>
      <c r="S5" s="4">
        <f>Hoja1!$D$44*Hoja1!S13</f>
        <v>17137203.199999999</v>
      </c>
      <c r="T5" s="4">
        <f>Hoja1!$D$44*Hoja1!T13</f>
        <v>18455449.599999998</v>
      </c>
      <c r="U5" s="4">
        <f>Hoja1!$D$44*Hoja1!U13</f>
        <v>19773696</v>
      </c>
      <c r="V5" s="4">
        <f>Hoja1!$D$44*Hoja1!V13</f>
        <v>21421504</v>
      </c>
      <c r="W5" s="4">
        <f>Hoja1!$D$44*Hoja1!W13</f>
        <v>23069312</v>
      </c>
      <c r="X5" s="4">
        <f>Hoja1!$D$44*Hoja1!X13</f>
        <v>25046681.599999998</v>
      </c>
      <c r="Y5" s="4">
        <f>Hoja1!$D$44*Hoja1!Y13</f>
        <v>27024051.199999999</v>
      </c>
      <c r="Z5" s="4">
        <f>Hoja1!$D$44*Hoja1!Z13</f>
        <v>29330982.399999999</v>
      </c>
    </row>
    <row r="6" spans="1:26">
      <c r="A6" s="4" t="s">
        <v>6</v>
      </c>
      <c r="B6" s="4">
        <v>0</v>
      </c>
      <c r="C6" s="4">
        <f>Hoja1!$C$45*Hoja1!C14</f>
        <v>660000</v>
      </c>
      <c r="D6" s="4">
        <f>Hoja1!$C$45*Hoja1!D14</f>
        <v>660000</v>
      </c>
      <c r="E6" s="4">
        <f>Hoja1!$C$45*Hoja1!E14</f>
        <v>880000</v>
      </c>
      <c r="F6" s="4">
        <f>Hoja1!$C$45*Hoja1!F14</f>
        <v>880000</v>
      </c>
      <c r="G6" s="4">
        <f>Hoja1!$C$45*Hoja1!G14</f>
        <v>1320000</v>
      </c>
      <c r="H6" s="4">
        <f>Hoja1!$C$45*Hoja1!H14</f>
        <v>1540000</v>
      </c>
      <c r="I6" s="4">
        <f>Hoja1!$C$45*Hoja1!I14</f>
        <v>1760000</v>
      </c>
      <c r="J6" s="4">
        <f>Hoja1!$C$45*Hoja1!J14</f>
        <v>2200000</v>
      </c>
      <c r="K6" s="4">
        <f>Hoja1!$C$45*Hoja1!K14</f>
        <v>2640000</v>
      </c>
      <c r="L6" s="4">
        <f>Hoja1!$C$45*Hoja1!L14</f>
        <v>3080000</v>
      </c>
      <c r="M6" s="4">
        <f>Hoja1!$C$45*Hoja1!M14</f>
        <v>3740000</v>
      </c>
      <c r="N6" s="4">
        <f>Hoja1!$C$45*Hoja1!N14</f>
        <v>4620000</v>
      </c>
      <c r="O6" s="4">
        <f>Hoja1!$D$45*Hoja1!O14</f>
        <v>4984619.1999999993</v>
      </c>
      <c r="P6" s="4">
        <f>Hoja1!$D$45*Hoja1!P14</f>
        <v>5437766.3999999994</v>
      </c>
      <c r="Q6" s="4">
        <f>Hoja1!$D$45*Hoja1!Q14</f>
        <v>5890913.5999999996</v>
      </c>
      <c r="R6" s="4">
        <f>Hoja1!$D$45*Hoja1!R14</f>
        <v>6344060.7999999989</v>
      </c>
      <c r="S6" s="4">
        <f>Hoja1!$D$45*Hoja1!S14</f>
        <v>7023781.5999999996</v>
      </c>
      <c r="T6" s="4">
        <f>Hoja1!$D$45*Hoja1!T14</f>
        <v>7476928.7999999989</v>
      </c>
      <c r="U6" s="4">
        <f>Hoja1!$D$45*Hoja1!U14</f>
        <v>8156649.5999999996</v>
      </c>
      <c r="V6" s="4">
        <f>Hoja1!$D$45*Hoja1!V14</f>
        <v>8836370.3999999985</v>
      </c>
      <c r="W6" s="4">
        <f>Hoja1!$D$45*Hoja1!W14</f>
        <v>9516091.1999999993</v>
      </c>
      <c r="X6" s="4">
        <f>Hoja1!$D$45*Hoja1!X14</f>
        <v>10195811.999999998</v>
      </c>
      <c r="Y6" s="4">
        <f>Hoja1!$D$45*Hoja1!Y14</f>
        <v>11102106.399999999</v>
      </c>
      <c r="Z6" s="4">
        <f>Hoja1!$D$45*Hoja1!Z14</f>
        <v>12008400.799999999</v>
      </c>
    </row>
    <row r="7" spans="1:26">
      <c r="A7" s="4" t="s">
        <v>7</v>
      </c>
      <c r="B7" s="4">
        <v>0</v>
      </c>
      <c r="C7" s="4">
        <f>Hoja1!$C$46*Hoja1!C15</f>
        <v>8000000</v>
      </c>
      <c r="D7" s="4">
        <f>Hoja1!$C$46*Hoja1!D15</f>
        <v>8000000</v>
      </c>
      <c r="E7" s="4">
        <f>Hoja1!$C$46*Hoja1!E15</f>
        <v>16000000</v>
      </c>
      <c r="F7" s="4">
        <f>Hoja1!$C$46*Hoja1!F15</f>
        <v>16000000</v>
      </c>
      <c r="G7" s="4">
        <f>Hoja1!$C$46*Hoja1!G15</f>
        <v>24000000</v>
      </c>
      <c r="H7" s="4">
        <f>Hoja1!$C$46*Hoja1!H15</f>
        <v>24000000</v>
      </c>
      <c r="I7" s="4">
        <f>Hoja1!$C$46*Hoja1!I15</f>
        <v>32000000</v>
      </c>
      <c r="J7" s="4">
        <f>Hoja1!$C$46*Hoja1!J15</f>
        <v>40000000</v>
      </c>
      <c r="K7" s="4">
        <f>Hoja1!$C$46*Hoja1!K15</f>
        <v>48000000</v>
      </c>
      <c r="L7" s="4">
        <f>Hoja1!$C$46*Hoja1!L15</f>
        <v>56000000</v>
      </c>
      <c r="M7" s="4">
        <f>Hoja1!$C$46*Hoja1!M15</f>
        <v>64000000</v>
      </c>
      <c r="N7" s="4">
        <f>Hoja1!$C$46*Hoja1!N15</f>
        <v>80000000</v>
      </c>
      <c r="O7" s="4">
        <f>Hoja1!$D$46*Hoja1!O15</f>
        <v>90629439.999999985</v>
      </c>
      <c r="P7" s="4">
        <f>Hoja1!$D$46*Hoja1!P15</f>
        <v>98868479.999999985</v>
      </c>
      <c r="Q7" s="4">
        <f>Hoja1!$D$46*Hoja1!Q15</f>
        <v>107107519.99999999</v>
      </c>
      <c r="R7" s="4">
        <f>Hoja1!$D$46*Hoja1!R15</f>
        <v>115346559.99999999</v>
      </c>
      <c r="S7" s="4">
        <f>Hoja1!$D$46*Hoja1!S15</f>
        <v>123585599.99999999</v>
      </c>
      <c r="T7" s="4">
        <f>Hoja1!$D$46*Hoja1!T15</f>
        <v>131824639.99999999</v>
      </c>
      <c r="U7" s="4">
        <f>Hoja1!$D$46*Hoja1!U15</f>
        <v>148302719.99999997</v>
      </c>
      <c r="V7" s="4">
        <f>Hoja1!$D$46*Hoja1!V15</f>
        <v>156541759.99999997</v>
      </c>
      <c r="W7" s="4">
        <f>Hoja1!$D$46*Hoja1!W15</f>
        <v>173019839.99999997</v>
      </c>
      <c r="X7" s="4">
        <f>Hoja1!$D$46*Hoja1!X15</f>
        <v>181258879.99999997</v>
      </c>
      <c r="Y7" s="4">
        <f>Hoja1!$D$46*Hoja1!Y15</f>
        <v>197736959.99999997</v>
      </c>
      <c r="Z7" s="4">
        <f>Hoja1!$D$46*Hoja1!Z15</f>
        <v>214215039.99999997</v>
      </c>
    </row>
    <row r="8" spans="1:26">
      <c r="A8" s="4" t="s">
        <v>8</v>
      </c>
      <c r="B8" s="4">
        <v>0</v>
      </c>
      <c r="C8" s="4">
        <f>Hoja1!$C$47*Hoja1!C16</f>
        <v>2600000</v>
      </c>
      <c r="D8" s="4">
        <f>Hoja1!$C$47*Hoja1!D16</f>
        <v>3900000</v>
      </c>
      <c r="E8" s="4">
        <f>Hoja1!$C$47*Hoja1!E16</f>
        <v>3900000</v>
      </c>
      <c r="F8" s="4">
        <f>Hoja1!$C$47*Hoja1!F16</f>
        <v>5200000</v>
      </c>
      <c r="G8" s="4">
        <f>Hoja1!$C$47*Hoja1!G16</f>
        <v>6500000</v>
      </c>
      <c r="H8" s="4">
        <f>Hoja1!$C$47*Hoja1!H16</f>
        <v>7800000</v>
      </c>
      <c r="I8" s="4">
        <f>Hoja1!$C$47*Hoja1!I16</f>
        <v>9100000</v>
      </c>
      <c r="J8" s="4">
        <f>Hoja1!$C$47*Hoja1!J16</f>
        <v>10400000</v>
      </c>
      <c r="K8" s="4">
        <f>Hoja1!$C$47*Hoja1!K16</f>
        <v>13000000</v>
      </c>
      <c r="L8" s="4">
        <f>Hoja1!$C$47*Hoja1!L16</f>
        <v>15600000</v>
      </c>
      <c r="M8" s="4">
        <f>Hoja1!$C$47*Hoja1!M16</f>
        <v>18200000</v>
      </c>
      <c r="N8" s="4">
        <f>Hoja1!$C$47*Hoja1!N16</f>
        <v>22100000</v>
      </c>
      <c r="O8" s="4">
        <f>Hoja1!$D$47*Hoja1!O16</f>
        <v>25438035.999999996</v>
      </c>
      <c r="P8" s="4">
        <f>Hoja1!$D$47*Hoja1!P16</f>
        <v>26776879.999999996</v>
      </c>
      <c r="Q8" s="4">
        <f>Hoja1!$D$47*Hoja1!Q16</f>
        <v>29454567.999999996</v>
      </c>
      <c r="R8" s="4">
        <f>Hoja1!$D$47*Hoja1!R16</f>
        <v>32132255.999999993</v>
      </c>
      <c r="S8" s="4">
        <f>Hoja1!$D$47*Hoja1!S16</f>
        <v>34809943.999999993</v>
      </c>
      <c r="T8" s="4">
        <f>Hoja1!$D$47*Hoja1!T16</f>
        <v>37487631.999999993</v>
      </c>
      <c r="U8" s="4">
        <f>Hoja1!$D$47*Hoja1!U16</f>
        <v>40165319.999999993</v>
      </c>
      <c r="V8" s="4">
        <f>Hoja1!$D$47*Hoja1!V16</f>
        <v>42843007.999999993</v>
      </c>
      <c r="W8" s="4">
        <f>Hoja1!$D$47*Hoja1!W16</f>
        <v>46859539.999999993</v>
      </c>
      <c r="X8" s="4">
        <f>Hoja1!$D$47*Hoja1!X16</f>
        <v>50876071.999999993</v>
      </c>
      <c r="Y8" s="4">
        <f>Hoja1!$D$47*Hoja1!Y16</f>
        <v>54892603.999999993</v>
      </c>
      <c r="Z8" s="4">
        <f>Hoja1!$D$47*Hoja1!Z16</f>
        <v>58909135.999999993</v>
      </c>
    </row>
    <row r="9" spans="1:26">
      <c r="A9" s="4" t="s">
        <v>9</v>
      </c>
      <c r="B9" s="4">
        <v>0</v>
      </c>
      <c r="C9" s="56">
        <f>Hoja1!$C$50*Hoja1!$F$50*Hoja1!C17*Hoja1!$E$50</f>
        <v>30000.000000000007</v>
      </c>
      <c r="D9" s="56">
        <f>Hoja1!$C$50*Hoja1!$F$50*Hoja1!D17*Hoja1!$E$50</f>
        <v>30000.000000000007</v>
      </c>
      <c r="E9" s="56">
        <f>Hoja1!$C$50*Hoja1!$F$50*Hoja1!E17*Hoja1!$E$50</f>
        <v>30000.000000000007</v>
      </c>
      <c r="F9" s="56">
        <f>Hoja1!$C$50*Hoja1!$F$50*Hoja1!F17*Hoja1!$E$50</f>
        <v>30000.000000000007</v>
      </c>
      <c r="G9" s="56">
        <f>Hoja1!$C$50*Hoja1!$F$50*Hoja1!G17*Hoja1!$E$50</f>
        <v>60000.000000000015</v>
      </c>
      <c r="H9" s="56">
        <f>Hoja1!$C$50*Hoja1!$F$50*Hoja1!H17*Hoja1!$E$50</f>
        <v>60000.000000000015</v>
      </c>
      <c r="I9" s="56">
        <f>Hoja1!$C$50*Hoja1!$F$50*Hoja1!I17*Hoja1!$E$50</f>
        <v>60000.000000000015</v>
      </c>
      <c r="J9" s="56">
        <f>Hoja1!$C$50*Hoja1!$F$50*Hoja1!J17*Hoja1!$E$50</f>
        <v>90000.000000000015</v>
      </c>
      <c r="K9" s="56">
        <f>Hoja1!$C$50*Hoja1!$F$50*Hoja1!K17*Hoja1!$E$50</f>
        <v>120000.00000000003</v>
      </c>
      <c r="L9" s="56">
        <f>Hoja1!$C$50*Hoja1!$F$50*Hoja1!L17*Hoja1!$E$50</f>
        <v>120000.00000000003</v>
      </c>
      <c r="M9" s="56">
        <f>Hoja1!$C$50*Hoja1!$F$50*Hoja1!M17*Hoja1!$E$50</f>
        <v>150000.00000000003</v>
      </c>
      <c r="N9" s="56">
        <f>Hoja1!$C$50*Hoja1!$F$50*Hoja1!N17*Hoja1!$E$50</f>
        <v>210000.00000000003</v>
      </c>
      <c r="O9" s="56">
        <f>Hoja1!$C$50*Hoja1!$F$50*Hoja1!O17*Hoja1!$E$50</f>
        <v>210000.00000000003</v>
      </c>
      <c r="P9" s="56">
        <f>Hoja1!$C$50*Hoja1!$F$50*Hoja1!P17*Hoja1!$E$50</f>
        <v>240000.00000000006</v>
      </c>
      <c r="Q9" s="56">
        <f>Hoja1!$C$50*Hoja1!$F$50*Hoja1!Q17*Hoja1!$E$50</f>
        <v>240000.00000000006</v>
      </c>
      <c r="R9" s="56">
        <f>Hoja1!$C$50*Hoja1!$F$50*Hoja1!R17*Hoja1!$E$50</f>
        <v>270000.00000000006</v>
      </c>
      <c r="S9" s="56">
        <f>Hoja1!$C$50*Hoja1!$F$50*Hoja1!S17*Hoja1!$E$50</f>
        <v>300000.00000000006</v>
      </c>
      <c r="T9" s="56">
        <f>Hoja1!$C$50*Hoja1!$F$50*Hoja1!T17*Hoja1!$E$50</f>
        <v>330000.00000000006</v>
      </c>
      <c r="U9" s="56">
        <f>Hoja1!$C$50*Hoja1!$F$50*Hoja1!U17*Hoja1!$E$50</f>
        <v>360000.00000000006</v>
      </c>
      <c r="V9" s="56">
        <f>Hoja1!$C$50*Hoja1!$F$50*Hoja1!V17*Hoja1!$E$50</f>
        <v>390000.00000000012</v>
      </c>
      <c r="W9" s="56">
        <f>Hoja1!$C$50*Hoja1!$F$50*Hoja1!W17*Hoja1!$E$50</f>
        <v>420000.00000000006</v>
      </c>
      <c r="X9" s="56">
        <f>Hoja1!$C$50*Hoja1!$F$50*Hoja1!X17*Hoja1!$E$50</f>
        <v>450000.00000000006</v>
      </c>
      <c r="Y9" s="56">
        <f>Hoja1!$C$50*Hoja1!$F$50*Hoja1!Y17*Hoja1!$E$50</f>
        <v>480000.00000000012</v>
      </c>
      <c r="Z9" s="56">
        <f>Hoja1!$C$50*Hoja1!$F$50*Hoja1!Z17*Hoja1!$E$50</f>
        <v>510000.00000000012</v>
      </c>
    </row>
    <row r="10" spans="1:26">
      <c r="A10" s="4" t="s">
        <v>10</v>
      </c>
      <c r="B10" s="4">
        <v>0</v>
      </c>
      <c r="C10" s="4">
        <f>Hoja1!$E$51*Hoja1!C18*Hoja1!$C$51</f>
        <v>42000</v>
      </c>
      <c r="D10" s="4">
        <f>Hoja1!$E$51*Hoja1!D18*Hoja1!$C$51</f>
        <v>42000</v>
      </c>
      <c r="E10" s="4">
        <f>Hoja1!$E$51*Hoja1!E18*Hoja1!$C$51</f>
        <v>42000</v>
      </c>
      <c r="F10" s="4">
        <f>Hoja1!$E$51*Hoja1!F18*Hoja1!$C$51</f>
        <v>63000</v>
      </c>
      <c r="G10" s="4">
        <f>Hoja1!$E$51*Hoja1!G18*Hoja1!$C$51</f>
        <v>84000</v>
      </c>
      <c r="H10" s="4">
        <f>Hoja1!$E$51*Hoja1!H18*Hoja1!$C$51</f>
        <v>84000</v>
      </c>
      <c r="I10" s="4">
        <f>Hoja1!$E$51*Hoja1!I18*Hoja1!$C$51</f>
        <v>105000</v>
      </c>
      <c r="J10" s="4">
        <f>Hoja1!$E$51*Hoja1!J18*Hoja1!$C$51</f>
        <v>126000</v>
      </c>
      <c r="K10" s="4">
        <f>Hoja1!$E$51*Hoja1!K18*Hoja1!$C$51</f>
        <v>168000</v>
      </c>
      <c r="L10" s="4">
        <f>Hoja1!$E$51*Hoja1!L18*Hoja1!$C$51</f>
        <v>189000</v>
      </c>
      <c r="M10" s="4">
        <f>Hoja1!$E$51*Hoja1!M18*Hoja1!$C$51</f>
        <v>231000</v>
      </c>
      <c r="N10" s="4">
        <f>Hoja1!$E$51*Hoja1!N18*Hoja1!$C$51</f>
        <v>294000</v>
      </c>
      <c r="O10" s="4">
        <f>Hoja1!$F$51*Hoja1!O18*Hoja1!$C$51</f>
        <v>324412.2</v>
      </c>
      <c r="P10" s="4">
        <f>Hoja1!$F$51*Hoja1!P18*Hoja1!$C$51</f>
        <v>346039.68</v>
      </c>
      <c r="Q10" s="4">
        <f>Hoja1!$F$51*Hoja1!Q18*Hoja1!$C$51</f>
        <v>367667.16000000003</v>
      </c>
      <c r="R10" s="4">
        <f>Hoja1!$F$51*Hoja1!R18*Hoja1!$C$51</f>
        <v>410922.12</v>
      </c>
      <c r="S10" s="4">
        <f>Hoja1!$F$51*Hoja1!S18*Hoja1!$C$51</f>
        <v>432549.60000000003</v>
      </c>
      <c r="T10" s="4">
        <f>Hoja1!$F$51*Hoja1!T18*Hoja1!$C$51</f>
        <v>475804.56</v>
      </c>
      <c r="U10" s="4">
        <f>Hoja1!$F$51*Hoja1!U18*Hoja1!$C$51</f>
        <v>519059.52</v>
      </c>
      <c r="V10" s="4">
        <f>Hoja1!$F$51*Hoja1!V18*Hoja1!$C$51</f>
        <v>562314.48</v>
      </c>
      <c r="W10" s="4">
        <f>Hoja1!$F$51*Hoja1!W18*Hoja1!$C$51</f>
        <v>605569.44000000006</v>
      </c>
      <c r="X10" s="4">
        <f>Hoja1!$F$51*Hoja1!X18*Hoja1!$C$51</f>
        <v>648824.4</v>
      </c>
      <c r="Y10" s="4">
        <f>Hoja1!$F$51*Hoja1!Y18*Hoja1!$C$51</f>
        <v>692079.36</v>
      </c>
      <c r="Z10" s="4">
        <f>Hoja1!$F$51*Hoja1!Z18*Hoja1!$C$51</f>
        <v>756961.8</v>
      </c>
    </row>
    <row r="11" spans="1:26">
      <c r="A11" s="4" t="s">
        <v>11</v>
      </c>
      <c r="B11" s="4">
        <v>0</v>
      </c>
      <c r="C11" s="4">
        <f>Hoja1!$C$48*Hoja1!C19</f>
        <v>2600000</v>
      </c>
      <c r="D11" s="4">
        <f>Hoja1!$C$48*Hoja1!D19</f>
        <v>3900000</v>
      </c>
      <c r="E11" s="4">
        <f>Hoja1!$C$48*Hoja1!E19</f>
        <v>3900000</v>
      </c>
      <c r="F11" s="4">
        <f>Hoja1!$C$48*Hoja1!F19</f>
        <v>5200000</v>
      </c>
      <c r="G11" s="4">
        <f>Hoja1!$C$48*Hoja1!G19</f>
        <v>6500000</v>
      </c>
      <c r="H11" s="4">
        <f>Hoja1!$C$48*Hoja1!H19</f>
        <v>7800000</v>
      </c>
      <c r="I11" s="4">
        <f>Hoja1!$C$48*Hoja1!I19</f>
        <v>9100000</v>
      </c>
      <c r="J11" s="4">
        <f>Hoja1!$C$48*Hoja1!J19</f>
        <v>10400000</v>
      </c>
      <c r="K11" s="4">
        <f>Hoja1!$C$48*Hoja1!K19</f>
        <v>13000000</v>
      </c>
      <c r="L11" s="4">
        <f>Hoja1!$C$48*Hoja1!L19</f>
        <v>15600000</v>
      </c>
      <c r="M11" s="4">
        <f>Hoja1!$C$48*Hoja1!M19</f>
        <v>18200000</v>
      </c>
      <c r="N11" s="4">
        <f>Hoja1!$C$48*Hoja1!N19</f>
        <v>22100000</v>
      </c>
      <c r="O11" s="4">
        <f>Hoja1!$D$48*Hoja1!O19</f>
        <v>25438035.999999996</v>
      </c>
      <c r="P11" s="4">
        <f>Hoja1!$D$48*Hoja1!P19</f>
        <v>26776879.999999996</v>
      </c>
      <c r="Q11" s="4">
        <f>Hoja1!$D$48*Hoja1!Q19</f>
        <v>29454567.999999996</v>
      </c>
      <c r="R11" s="4">
        <f>Hoja1!$D$48*Hoja1!R19</f>
        <v>32132255.999999993</v>
      </c>
      <c r="S11" s="4">
        <f>Hoja1!$D$48*Hoja1!S19</f>
        <v>34809943.999999993</v>
      </c>
      <c r="T11" s="4">
        <f>Hoja1!$D$48*Hoja1!T19</f>
        <v>37487631.999999993</v>
      </c>
      <c r="U11" s="4">
        <f>Hoja1!$D$48*Hoja1!U19</f>
        <v>40165319.999999993</v>
      </c>
      <c r="V11" s="4">
        <f>Hoja1!$D$48*Hoja1!V19</f>
        <v>42843007.999999993</v>
      </c>
      <c r="W11" s="4">
        <f>Hoja1!$D$48*Hoja1!W19</f>
        <v>46859539.999999993</v>
      </c>
      <c r="X11" s="4">
        <f>Hoja1!$D$48*Hoja1!X19</f>
        <v>50876071.999999993</v>
      </c>
      <c r="Y11" s="4">
        <f>Hoja1!$D$48*Hoja1!Y19</f>
        <v>54892603.999999993</v>
      </c>
      <c r="Z11" s="4">
        <f>Hoja1!$D$48*Hoja1!Z19</f>
        <v>58909135.999999993</v>
      </c>
    </row>
    <row r="12" spans="1:26">
      <c r="A12" s="4" t="s">
        <v>58</v>
      </c>
      <c r="B12" s="4">
        <v>0</v>
      </c>
      <c r="C12" s="4">
        <f>Hoja1!C12*20*Hoja1!$C$49</f>
        <v>100000</v>
      </c>
      <c r="D12" s="4">
        <f>Hoja1!D12*20*Hoja1!$C$49</f>
        <v>120000</v>
      </c>
      <c r="E12" s="4">
        <f>Hoja1!E12*20*Hoja1!$C$49</f>
        <v>140000</v>
      </c>
      <c r="F12" s="4">
        <f>Hoja1!F12*20*Hoja1!$C$49</f>
        <v>160000</v>
      </c>
      <c r="G12" s="4">
        <f>Hoja1!G12*20*Hoja1!$C$49</f>
        <v>200000</v>
      </c>
      <c r="H12" s="4">
        <f>Hoja1!H12*20*Hoja1!$C$49</f>
        <v>240000</v>
      </c>
      <c r="I12" s="4">
        <f>Hoja1!I12*20*Hoja1!$C$49</f>
        <v>280000</v>
      </c>
      <c r="J12" s="4">
        <f>Hoja1!J12*20*Hoja1!$C$49</f>
        <v>340000</v>
      </c>
      <c r="K12" s="4">
        <f>Hoja1!K12*20*Hoja1!$C$49</f>
        <v>400000</v>
      </c>
      <c r="L12" s="4">
        <f>Hoja1!L12*20*Hoja1!$C$49</f>
        <v>480000</v>
      </c>
      <c r="M12" s="4">
        <f>Hoja1!M12*20*Hoja1!$C$49</f>
        <v>580000</v>
      </c>
      <c r="N12" s="4">
        <f>Hoja1!N12*20*Hoja1!$C$49</f>
        <v>700000</v>
      </c>
      <c r="O12" s="4">
        <f>Hoja1!O12*20*Hoja1!$D$49</f>
        <v>782708.79999999993</v>
      </c>
      <c r="P12" s="4">
        <f>Hoja1!P12*20*Hoja1!$D$49</f>
        <v>844501.59999999986</v>
      </c>
      <c r="Q12" s="4">
        <f>Hoja1!Q12*20*Hoja1!$D$49</f>
        <v>906294.39999999991</v>
      </c>
      <c r="R12" s="4">
        <f>Hoja1!R12*20*Hoja1!$D$49</f>
        <v>988684.79999999993</v>
      </c>
      <c r="S12" s="4">
        <f>Hoja1!S12*20*Hoja1!$D$49</f>
        <v>1071075.2</v>
      </c>
      <c r="T12" s="4">
        <f>Hoja1!T12*20*Hoja1!$D$49</f>
        <v>1153465.5999999999</v>
      </c>
      <c r="U12" s="4">
        <f>Hoja1!U12*20*Hoja1!$D$49</f>
        <v>1235855.9999999998</v>
      </c>
      <c r="V12" s="4">
        <f>Hoja1!V12*20*Hoja1!$D$49</f>
        <v>1338843.9999999998</v>
      </c>
      <c r="W12" s="4">
        <f>Hoja1!W12*20*Hoja1!$D$49</f>
        <v>1441831.9999999998</v>
      </c>
      <c r="X12" s="4">
        <f>Hoja1!X12*20*Hoja1!$D$49</f>
        <v>1565417.5999999999</v>
      </c>
      <c r="Y12" s="4">
        <f>Hoja1!Y12*20*Hoja1!$D$49</f>
        <v>1689003.1999999997</v>
      </c>
      <c r="Z12" s="4">
        <f>Hoja1!Z12*20*Hoja1!$D$49</f>
        <v>1833186.3999999997</v>
      </c>
    </row>
    <row r="14" spans="1:26" s="54" customFormat="1">
      <c r="A14" s="51" t="s">
        <v>59</v>
      </c>
      <c r="B14" s="51">
        <f>SUM(B15:B29)</f>
        <v>519999999.60000002</v>
      </c>
      <c r="C14" s="51">
        <f>SUM(C15:C29)</f>
        <v>10610000.000000004</v>
      </c>
      <c r="D14" s="51">
        <f>SUM(D15:D29)</f>
        <v>10730000.000000004</v>
      </c>
      <c r="E14" s="51">
        <f>SUM(E15:E29)</f>
        <v>17650000.000000004</v>
      </c>
      <c r="F14" s="51">
        <f>SUM(F15:F29)</f>
        <v>17770000.000000004</v>
      </c>
      <c r="G14" s="51">
        <f>SUM(G15:G29)</f>
        <v>26070000</v>
      </c>
      <c r="H14" s="51">
        <f>SUM(H15:H29)</f>
        <v>25310000</v>
      </c>
      <c r="I14" s="51">
        <f>SUM(I15:I29)</f>
        <v>62714349.399999999</v>
      </c>
      <c r="J14" s="51">
        <f>SUM(J15:J29)</f>
        <v>76393534.099999994</v>
      </c>
      <c r="K14" s="51">
        <f>SUM(K15:K29)</f>
        <v>84538132.099999994</v>
      </c>
      <c r="L14" s="51">
        <f>SUM(L15:L29)</f>
        <v>100321914.8</v>
      </c>
      <c r="M14" s="51">
        <f>SUM(M15:M29)</f>
        <v>116714146</v>
      </c>
      <c r="N14" s="51">
        <f>SUM(N15:N29)</f>
        <v>141018676.19999999</v>
      </c>
      <c r="O14" s="51">
        <f>SUM(O15:O29)</f>
        <v>155569862.675488</v>
      </c>
      <c r="P14" s="51">
        <f>SUM(P15:P29)</f>
        <v>169704069.20213598</v>
      </c>
      <c r="Q14" s="51">
        <f>SUM(Q15:Q29)</f>
        <v>178153581.97445598</v>
      </c>
      <c r="R14" s="51">
        <f>SUM(R15:R29)</f>
        <v>193449160.087264</v>
      </c>
      <c r="S14" s="51">
        <f>SUM(S15:S29)</f>
        <v>210339203.16547197</v>
      </c>
      <c r="T14" s="51">
        <f>SUM(T15:T29)</f>
        <v>219950087.52395201</v>
      </c>
      <c r="U14" s="51">
        <f>SUM(U15:U29)</f>
        <v>242248849.63675997</v>
      </c>
      <c r="V14" s="51">
        <f>SUM(V15:V29)</f>
        <v>256668013.34956798</v>
      </c>
      <c r="W14" s="51">
        <f>SUM(W15:W29)</f>
        <v>282760398.00009596</v>
      </c>
      <c r="X14" s="51">
        <f>SUM(X15:X29)</f>
        <v>300935398.26446396</v>
      </c>
      <c r="Y14" s="51">
        <f>SUM(Y15:Y29)</f>
        <v>323519117.56343198</v>
      </c>
      <c r="Z14" s="51">
        <f>SUM(Z15:Z29)</f>
        <v>347264208.44856</v>
      </c>
    </row>
    <row r="15" spans="1:26">
      <c r="A15" s="4" t="s">
        <v>61</v>
      </c>
      <c r="B15" s="4">
        <v>95000000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>
      <c r="A16" s="4" t="s">
        <v>75</v>
      </c>
      <c r="B16" s="4">
        <v>15000000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>
      <c r="A17" s="4" t="s">
        <v>65</v>
      </c>
      <c r="B17" s="4">
        <v>4000000</v>
      </c>
      <c r="C17" s="4">
        <f>1000000*Hoja2!B29</f>
        <v>0</v>
      </c>
      <c r="D17" s="4">
        <f>1000000*Hoja2!C29</f>
        <v>0</v>
      </c>
      <c r="E17" s="4">
        <f>1000000*Hoja2!D29</f>
        <v>0</v>
      </c>
      <c r="F17" s="4">
        <f>1000000*Hoja2!E29</f>
        <v>0</v>
      </c>
      <c r="G17" s="4">
        <f>1000000*Hoja2!F29</f>
        <v>1000000</v>
      </c>
      <c r="H17" s="4">
        <f>1000000*Hoja2!G29</f>
        <v>0</v>
      </c>
      <c r="I17" s="4">
        <f>1000000*Hoja2!H29</f>
        <v>0</v>
      </c>
      <c r="J17" s="4">
        <f>1000000*Hoja2!I29</f>
        <v>1000000</v>
      </c>
      <c r="K17" s="4">
        <f>1000000*Hoja2!J29</f>
        <v>0</v>
      </c>
      <c r="L17" s="4">
        <f>1000000*Hoja2!K29</f>
        <v>1000000</v>
      </c>
      <c r="M17" s="4">
        <f>1000000*Hoja2!L29</f>
        <v>1000000</v>
      </c>
      <c r="N17" s="4">
        <f>1000000*Hoja2!M29</f>
        <v>1000000</v>
      </c>
      <c r="O17" s="4">
        <f>1000000*Hoja2!N29</f>
        <v>0</v>
      </c>
      <c r="P17" s="4">
        <f>1000000*Hoja2!O29</f>
        <v>1000000</v>
      </c>
      <c r="Q17" s="4">
        <f>1000000*Hoja2!P29</f>
        <v>0</v>
      </c>
      <c r="R17" s="4">
        <f>1000000*Hoja2!Q29</f>
        <v>1000000</v>
      </c>
      <c r="S17" s="4">
        <f>1000000*Hoja2!R29</f>
        <v>1000000</v>
      </c>
      <c r="T17" s="4">
        <f>1000000*Hoja2!S29</f>
        <v>0</v>
      </c>
      <c r="U17" s="4">
        <f>1000000*Hoja2!T29</f>
        <v>1000000</v>
      </c>
      <c r="V17" s="4">
        <f>1000000*Hoja2!U29</f>
        <v>1000000</v>
      </c>
      <c r="W17" s="4">
        <f>1000000*Hoja2!V29</f>
        <v>1000000</v>
      </c>
      <c r="X17" s="4">
        <f>1000000*Hoja2!W29</f>
        <v>1000000</v>
      </c>
      <c r="Y17" s="4">
        <f>1000000*Hoja2!X29</f>
        <v>1000000</v>
      </c>
      <c r="Z17" s="4">
        <f>1000000*Hoja2!Y29</f>
        <v>1000000</v>
      </c>
    </row>
    <row r="18" spans="1:26">
      <c r="A18" s="4" t="s">
        <v>73</v>
      </c>
      <c r="B18" s="4">
        <v>0</v>
      </c>
      <c r="C18" s="4">
        <f>Hoja2!B30*2*130000</f>
        <v>260000</v>
      </c>
      <c r="D18" s="4">
        <f>Hoja2!C30*2*130000</f>
        <v>260000</v>
      </c>
      <c r="E18" s="4">
        <f>Hoja2!D30*2*130000</f>
        <v>260000</v>
      </c>
      <c r="F18" s="4">
        <f>Hoja2!E30*2*130000</f>
        <v>260000</v>
      </c>
      <c r="G18" s="4">
        <f>Hoja2!F30*2*130000</f>
        <v>520000</v>
      </c>
      <c r="H18" s="4">
        <f>Hoja2!G30*2*130000</f>
        <v>520000</v>
      </c>
      <c r="I18" s="4">
        <f>Hoja2!H30*2*130000</f>
        <v>520000</v>
      </c>
      <c r="J18" s="4">
        <f>Hoja2!I30*2*130000</f>
        <v>780000</v>
      </c>
      <c r="K18" s="4">
        <f>Hoja2!J30*2*130000</f>
        <v>780000</v>
      </c>
      <c r="L18" s="4">
        <f>Hoja2!K30*2*130000</f>
        <v>1040000</v>
      </c>
      <c r="M18" s="4">
        <f>Hoja2!L30*2*130000</f>
        <v>1300000</v>
      </c>
      <c r="N18" s="4">
        <f>Hoja2!M30*2*130000</f>
        <v>1560000</v>
      </c>
      <c r="O18" s="4">
        <f>Hoja2!N30*2*130000</f>
        <v>1560000</v>
      </c>
      <c r="P18" s="4">
        <f>Hoja2!O30*2*130000</f>
        <v>1820000</v>
      </c>
      <c r="Q18" s="4">
        <f>Hoja2!P30*2*130000</f>
        <v>1820000</v>
      </c>
      <c r="R18" s="4">
        <f>Hoja2!Q30*2*130000</f>
        <v>2080000</v>
      </c>
      <c r="S18" s="4">
        <f>Hoja2!R30*2*130000</f>
        <v>2340000</v>
      </c>
      <c r="T18" s="4">
        <f>Hoja2!S30*2*130000</f>
        <v>2340000</v>
      </c>
      <c r="U18" s="4">
        <f>Hoja2!T30*2*130000</f>
        <v>2600000</v>
      </c>
      <c r="V18" s="4">
        <f>Hoja2!U30*2*130000</f>
        <v>2860000</v>
      </c>
      <c r="W18" s="4">
        <f>Hoja2!V30*2*130000</f>
        <v>3120000</v>
      </c>
      <c r="X18" s="4">
        <f>Hoja2!W30*2*130000</f>
        <v>3380000</v>
      </c>
      <c r="Y18" s="4">
        <f>Hoja2!X30*2*130000</f>
        <v>3640000</v>
      </c>
      <c r="Z18" s="4">
        <f>Hoja2!Y30*2*130000</f>
        <v>3900000</v>
      </c>
    </row>
    <row r="19" spans="1:26">
      <c r="A19" s="4" t="s">
        <v>74</v>
      </c>
      <c r="B19" s="4">
        <v>0</v>
      </c>
      <c r="C19" s="4">
        <v>150000</v>
      </c>
      <c r="D19" s="4">
        <v>150000</v>
      </c>
      <c r="E19" s="4">
        <v>150000</v>
      </c>
      <c r="F19" s="4">
        <v>150000</v>
      </c>
      <c r="G19" s="4">
        <v>150000</v>
      </c>
      <c r="H19" s="4">
        <v>150000</v>
      </c>
      <c r="I19" s="4">
        <v>150000</v>
      </c>
      <c r="J19" s="4">
        <v>150000</v>
      </c>
      <c r="K19" s="4">
        <v>150000</v>
      </c>
      <c r="L19" s="4">
        <v>150000</v>
      </c>
      <c r="M19" s="4">
        <v>150000</v>
      </c>
      <c r="N19" s="4">
        <v>150000</v>
      </c>
      <c r="O19" s="4">
        <v>154482</v>
      </c>
      <c r="P19" s="4">
        <v>154482</v>
      </c>
      <c r="Q19" s="4">
        <v>154482</v>
      </c>
      <c r="R19" s="4">
        <v>154482</v>
      </c>
      <c r="S19" s="4">
        <v>154482</v>
      </c>
      <c r="T19" s="4">
        <v>154482</v>
      </c>
      <c r="U19" s="4">
        <v>154482</v>
      </c>
      <c r="V19" s="4">
        <v>154482</v>
      </c>
      <c r="W19" s="4">
        <v>154482</v>
      </c>
      <c r="X19" s="4">
        <v>154482</v>
      </c>
      <c r="Y19" s="4">
        <v>154482</v>
      </c>
      <c r="Z19" s="4">
        <v>154482</v>
      </c>
    </row>
    <row r="20" spans="1:26">
      <c r="A20" s="4" t="s">
        <v>76</v>
      </c>
      <c r="B20" s="4">
        <f>2000000*12+ 24717120</f>
        <v>48717120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>
      <c r="A21" s="4" t="s">
        <v>64</v>
      </c>
      <c r="B21" s="4">
        <v>0</v>
      </c>
      <c r="C21" s="4">
        <f>Hoja1!C12*Hoja1!$C$55</f>
        <v>600000</v>
      </c>
      <c r="D21" s="4">
        <f>Hoja1!D12*Hoja1!$C$55</f>
        <v>720000</v>
      </c>
      <c r="E21" s="4">
        <f>Hoja1!E12*Hoja1!$C$55</f>
        <v>840000</v>
      </c>
      <c r="F21" s="4">
        <f>Hoja1!F12*Hoja1!$C$55</f>
        <v>960000</v>
      </c>
      <c r="G21" s="4">
        <f>Hoja1!G12*Hoja1!$C$55</f>
        <v>1200000</v>
      </c>
      <c r="H21" s="4">
        <f>Hoja1!H12*Hoja1!$C$55</f>
        <v>1440000</v>
      </c>
      <c r="I21" s="4">
        <f>Hoja1!I12*Hoja1!$C$55</f>
        <v>1680000</v>
      </c>
      <c r="J21" s="4">
        <f>Hoja1!J12*Hoja1!$C$55</f>
        <v>2040000</v>
      </c>
      <c r="K21" s="4">
        <f>Hoja1!K12*Hoja1!$C$55</f>
        <v>2400000</v>
      </c>
      <c r="L21" s="4">
        <f>Hoja1!L12*Hoja1!$C$55</f>
        <v>2880000</v>
      </c>
      <c r="M21" s="4">
        <f>Hoja1!M12*Hoja1!$C$55</f>
        <v>3480000</v>
      </c>
      <c r="N21" s="4">
        <f>Hoja1!N12*Hoja1!$C$55</f>
        <v>4200000</v>
      </c>
      <c r="O21" s="4">
        <f>Hoja1!O12*Hoja1!$D$55</f>
        <v>4696252.8</v>
      </c>
      <c r="P21" s="4">
        <f>Hoja1!P12*Hoja1!$D$55</f>
        <v>5067009.5999999996</v>
      </c>
      <c r="Q21" s="4">
        <f>Hoja1!Q12*Hoja1!$D$55</f>
        <v>5437766.3999999994</v>
      </c>
      <c r="R21" s="4">
        <f>Hoja1!R12*Hoja1!$D$55</f>
        <v>5932108.7999999998</v>
      </c>
      <c r="S21" s="4">
        <f>Hoja1!S12*Hoja1!$D$55</f>
        <v>6426451.1999999993</v>
      </c>
      <c r="T21" s="4">
        <f>Hoja1!T12*Hoja1!$D$55</f>
        <v>6920793.5999999996</v>
      </c>
      <c r="U21" s="4">
        <f>Hoja1!U12*Hoja1!$D$55</f>
        <v>7415135.9999999991</v>
      </c>
      <c r="V21" s="4">
        <f>Hoja1!V12*Hoja1!$D$55</f>
        <v>8033063.9999999991</v>
      </c>
      <c r="W21" s="4">
        <f>Hoja1!W12*Hoja1!$D$55</f>
        <v>8650992</v>
      </c>
      <c r="X21" s="4">
        <f>Hoja1!X12*Hoja1!$D$55</f>
        <v>9392505.5999999996</v>
      </c>
      <c r="Y21" s="4">
        <f>Hoja1!Y12*Hoja1!$D$55</f>
        <v>10134019.199999999</v>
      </c>
      <c r="Z21" s="4">
        <f>Hoja1!Z12*Hoja1!$D$55</f>
        <v>10999118.399999999</v>
      </c>
    </row>
    <row r="22" spans="1:26">
      <c r="A22" s="4" t="s">
        <v>80</v>
      </c>
      <c r="B22" s="4">
        <f>4000000*12+49440000</f>
        <v>97440000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>
      <c r="A23" s="4" t="s">
        <v>79</v>
      </c>
      <c r="B23" s="4">
        <f>4000000*12+49440000</f>
        <v>97440000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>
      <c r="A24" s="4" t="s">
        <v>77</v>
      </c>
      <c r="B24" s="4">
        <v>0</v>
      </c>
      <c r="C24" s="4">
        <v>800000</v>
      </c>
      <c r="D24" s="4">
        <v>800000</v>
      </c>
      <c r="E24" s="4">
        <v>800000</v>
      </c>
      <c r="F24" s="4">
        <v>800000</v>
      </c>
      <c r="G24" s="4">
        <v>800000</v>
      </c>
      <c r="H24" s="4">
        <v>800000</v>
      </c>
      <c r="I24" s="4">
        <v>800000</v>
      </c>
      <c r="J24" s="4">
        <v>800000</v>
      </c>
      <c r="K24" s="4">
        <v>800000</v>
      </c>
      <c r="L24" s="4">
        <v>800000</v>
      </c>
      <c r="M24" s="4">
        <v>800000</v>
      </c>
      <c r="N24" s="4">
        <v>800000</v>
      </c>
      <c r="O24" s="4">
        <v>800000</v>
      </c>
      <c r="P24" s="4">
        <v>800000</v>
      </c>
      <c r="Q24" s="4">
        <v>800000</v>
      </c>
      <c r="R24" s="4">
        <v>800000</v>
      </c>
      <c r="S24" s="4">
        <v>800000</v>
      </c>
      <c r="T24" s="4">
        <v>800000</v>
      </c>
      <c r="U24" s="4">
        <v>800000</v>
      </c>
      <c r="V24" s="4">
        <v>800000</v>
      </c>
      <c r="W24" s="4">
        <v>800000</v>
      </c>
      <c r="X24" s="4">
        <v>800000</v>
      </c>
      <c r="Y24" s="4">
        <v>800000</v>
      </c>
      <c r="Z24" s="4">
        <v>800000</v>
      </c>
    </row>
    <row r="25" spans="1:26">
      <c r="A25" s="4" t="s">
        <v>71</v>
      </c>
      <c r="B25" s="4">
        <f>B7*Hoja1!$C$59</f>
        <v>0</v>
      </c>
      <c r="C25" s="4">
        <f>C7*Hoja1!$C$59</f>
        <v>6800000</v>
      </c>
      <c r="D25" s="4">
        <f>D7*Hoja1!$C$59</f>
        <v>6800000</v>
      </c>
      <c r="E25" s="4">
        <f>E7*Hoja1!$C$59</f>
        <v>13600000</v>
      </c>
      <c r="F25" s="4">
        <f>F7*Hoja1!$C$59</f>
        <v>13600000</v>
      </c>
      <c r="G25" s="4">
        <f>G7*Hoja1!$C$59</f>
        <v>20400000</v>
      </c>
      <c r="H25" s="4">
        <f>H7*Hoja1!$C$59</f>
        <v>20400000</v>
      </c>
      <c r="I25" s="4">
        <f>I7*Hoja1!$C$59</f>
        <v>27200000</v>
      </c>
      <c r="J25" s="4">
        <f>J7*Hoja1!$C$59</f>
        <v>34000000</v>
      </c>
      <c r="K25" s="4">
        <f>K7*Hoja1!$C$59</f>
        <v>40800000</v>
      </c>
      <c r="L25" s="4">
        <f>L7*Hoja1!$C$59</f>
        <v>47600000</v>
      </c>
      <c r="M25" s="4">
        <f>M7*Hoja1!$C$59</f>
        <v>54400000</v>
      </c>
      <c r="N25" s="4">
        <f>N7*Hoja1!$C$59</f>
        <v>68000000</v>
      </c>
      <c r="O25" s="4">
        <f>O7*Hoja1!$C$59</f>
        <v>77035023.999999985</v>
      </c>
      <c r="P25" s="4">
        <f>P7*Hoja1!$C$59</f>
        <v>84038207.999999985</v>
      </c>
      <c r="Q25" s="4">
        <f>Q7*Hoja1!$C$59</f>
        <v>91041391.999999985</v>
      </c>
      <c r="R25" s="4">
        <f>R7*Hoja1!$C$59</f>
        <v>98044575.999999985</v>
      </c>
      <c r="S25" s="4">
        <f>S7*Hoja1!$C$59</f>
        <v>105047759.99999999</v>
      </c>
      <c r="T25" s="4">
        <f>T7*Hoja1!$C$59</f>
        <v>112050943.99999999</v>
      </c>
      <c r="U25" s="4">
        <f>U7*Hoja1!$C$59</f>
        <v>126057311.99999997</v>
      </c>
      <c r="V25" s="4">
        <f>V7*Hoja1!$C$59</f>
        <v>133060495.99999997</v>
      </c>
      <c r="W25" s="4">
        <f>W7*Hoja1!$C$59</f>
        <v>147066863.99999997</v>
      </c>
      <c r="X25" s="4">
        <f>X7*Hoja1!$C$59</f>
        <v>154070047.99999997</v>
      </c>
      <c r="Y25" s="4">
        <f>Y7*Hoja1!$C$59</f>
        <v>168076415.99999997</v>
      </c>
      <c r="Z25" s="4">
        <f>Z7*Hoja1!$C$59</f>
        <v>182082783.99999997</v>
      </c>
    </row>
    <row r="26" spans="1:26">
      <c r="A26" s="4" t="s">
        <v>81</v>
      </c>
      <c r="B26" s="4">
        <v>6215017</v>
      </c>
      <c r="C26" s="4">
        <v>2000000</v>
      </c>
      <c r="D26" s="4">
        <v>2000000</v>
      </c>
      <c r="E26" s="4">
        <v>2000000</v>
      </c>
      <c r="F26" s="4">
        <v>2000000</v>
      </c>
      <c r="G26" s="4">
        <v>2000000</v>
      </c>
      <c r="H26" s="4">
        <v>2000000</v>
      </c>
      <c r="I26" s="4">
        <v>2000000</v>
      </c>
      <c r="J26" s="4">
        <v>2000000</v>
      </c>
      <c r="K26" s="4">
        <v>2000000</v>
      </c>
      <c r="L26" s="4">
        <v>2000000</v>
      </c>
      <c r="M26" s="4">
        <v>2000000</v>
      </c>
      <c r="N26" s="4">
        <v>2000000</v>
      </c>
      <c r="O26" s="4">
        <v>2000000</v>
      </c>
      <c r="P26" s="4">
        <v>2000000</v>
      </c>
      <c r="Q26" s="4">
        <v>2000000</v>
      </c>
      <c r="R26" s="4">
        <v>2000000</v>
      </c>
      <c r="S26" s="4">
        <v>2000000</v>
      </c>
      <c r="T26" s="4">
        <v>2000000</v>
      </c>
      <c r="U26" s="4">
        <v>2000000</v>
      </c>
      <c r="V26" s="4">
        <v>2000000</v>
      </c>
      <c r="W26" s="4">
        <v>2000000</v>
      </c>
      <c r="X26" s="4">
        <v>2000000</v>
      </c>
      <c r="Y26" s="4">
        <v>2000000</v>
      </c>
      <c r="Z26" s="4">
        <v>2000000</v>
      </c>
    </row>
    <row r="27" spans="1:26">
      <c r="A27" s="4" t="s">
        <v>66</v>
      </c>
      <c r="B27" s="4">
        <v>0</v>
      </c>
      <c r="C27" s="4">
        <f>Hoja2!Y4</f>
        <v>23616716.199999999</v>
      </c>
      <c r="D27" s="4">
        <f>Hoja2!Y5</f>
        <v>24609015.199999999</v>
      </c>
      <c r="E27" s="4">
        <f>Hoja2!Y6</f>
        <v>24609015.199999999</v>
      </c>
      <c r="F27" s="4">
        <f>Hoja2!Y7</f>
        <v>25601314.199999999</v>
      </c>
      <c r="G27" s="4">
        <f>Hoja2!Y8</f>
        <v>28379751.399999999</v>
      </c>
      <c r="H27" s="4">
        <f>Hoja2!Y9</f>
        <v>29372050.399999999</v>
      </c>
      <c r="I27" s="4">
        <f>Hoja2!Y10</f>
        <v>30364349.399999999</v>
      </c>
      <c r="J27" s="4">
        <f>Hoja2!Y11</f>
        <v>35623534.100000001</v>
      </c>
      <c r="K27" s="4">
        <f>Hoja2!Y12</f>
        <v>37608132.100000001</v>
      </c>
      <c r="L27" s="4">
        <f>Hoja2!Y13</f>
        <v>44851914.799999997</v>
      </c>
      <c r="M27" s="4">
        <f>Hoja2!Y14</f>
        <v>53584146</v>
      </c>
      <c r="N27" s="4">
        <f>Hoja2!Y15</f>
        <v>63308676.200000003</v>
      </c>
      <c r="O27" s="4">
        <f>Hoja2!Y16</f>
        <v>69324103.875487998</v>
      </c>
      <c r="P27" s="4">
        <f>Hoja2!Y17</f>
        <v>74824369.602136001</v>
      </c>
      <c r="Q27" s="4">
        <f>Hoja2!Y18</f>
        <v>76899941.574455991</v>
      </c>
      <c r="R27" s="4">
        <f>Hoja2!Y19</f>
        <v>83437993.287264004</v>
      </c>
      <c r="S27" s="4">
        <f>Hoja2!Y20</f>
        <v>92570509.965471998</v>
      </c>
      <c r="T27" s="4">
        <f>Hoja2!Y21</f>
        <v>95683867.923952013</v>
      </c>
      <c r="U27" s="4">
        <f>Hoja2!Y22</f>
        <v>102221919.63676</v>
      </c>
      <c r="V27" s="4">
        <f>Hoja2!Y23</f>
        <v>108759971.34956801</v>
      </c>
      <c r="W27" s="4">
        <f>Hoja2!Y24</f>
        <v>119968060.00009599</v>
      </c>
      <c r="X27" s="4">
        <f>Hoja2!Y25</f>
        <v>130138362.664464</v>
      </c>
      <c r="Y27" s="4">
        <f>Hoja2!Y26</f>
        <v>137714200.36343205</v>
      </c>
      <c r="Z27" s="4">
        <f>Hoja2!Y27</f>
        <v>146327824.04856002</v>
      </c>
    </row>
    <row r="28" spans="1:26">
      <c r="A28" s="4" t="s">
        <v>78</v>
      </c>
      <c r="B28" s="4">
        <f>SUM(C27:H27)</f>
        <v>156187862.59999999</v>
      </c>
      <c r="C28" s="4">
        <f>-C27</f>
        <v>-23616716.199999999</v>
      </c>
      <c r="D28" s="4">
        <f t="shared" ref="D28:H28" si="1">-D27</f>
        <v>-24609015.199999999</v>
      </c>
      <c r="E28" s="4">
        <f t="shared" si="1"/>
        <v>-24609015.199999999</v>
      </c>
      <c r="F28" s="4">
        <f t="shared" si="1"/>
        <v>-25601314.199999999</v>
      </c>
      <c r="G28" s="4">
        <f t="shared" si="1"/>
        <v>-28379751.399999999</v>
      </c>
      <c r="H28" s="4">
        <f t="shared" si="1"/>
        <v>-29372050.399999999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31" spans="1:26" s="59" customFormat="1">
      <c r="A31" s="58" t="s">
        <v>68</v>
      </c>
      <c r="B31" s="58"/>
      <c r="C31" s="58">
        <f>C2-C14</f>
        <v>12521999.999999996</v>
      </c>
      <c r="D31" s="58">
        <f>D2-D14</f>
        <v>16841999.999999996</v>
      </c>
      <c r="E31" s="58">
        <f>E2-E14</f>
        <v>19981999.999999996</v>
      </c>
      <c r="F31" s="58">
        <f>F2-F14</f>
        <v>24322999.999999996</v>
      </c>
      <c r="G31" s="58">
        <f>G2-G14</f>
        <v>30794000</v>
      </c>
      <c r="H31" s="58">
        <f>H2-H14</f>
        <v>38054000</v>
      </c>
      <c r="I31" s="58">
        <f>I2-I14</f>
        <v>15170650.600000001</v>
      </c>
      <c r="J31" s="58">
        <f>J2-J14</f>
        <v>18102465.900000006</v>
      </c>
      <c r="K31" s="58">
        <f>K2-K14</f>
        <v>29189867.900000006</v>
      </c>
      <c r="L31" s="58">
        <f>L2-L14</f>
        <v>34427085.200000003</v>
      </c>
      <c r="M31" s="58">
        <f>M2-M14</f>
        <v>41166854</v>
      </c>
      <c r="N31" s="58">
        <f>N2-N14</f>
        <v>52705323.800000012</v>
      </c>
      <c r="O31" s="58">
        <f>O2-O14</f>
        <v>63463890.324512005</v>
      </c>
      <c r="P31" s="58">
        <f>P2-P14</f>
        <v>66436124.077864021</v>
      </c>
      <c r="Q31" s="58">
        <f>Q2-Q14</f>
        <v>77740739.58554396</v>
      </c>
      <c r="R31" s="58">
        <f>R2-R14</f>
        <v>84145896.43273598</v>
      </c>
      <c r="S31" s="58">
        <f>S2-S14</f>
        <v>89161534.434527934</v>
      </c>
      <c r="T31" s="58">
        <f>T2-T14</f>
        <v>101251385.036048</v>
      </c>
      <c r="U31" s="58">
        <f>U2-U14</f>
        <v>109118971.48323998</v>
      </c>
      <c r="V31" s="58">
        <f>V2-V14</f>
        <v>118522095.53043202</v>
      </c>
      <c r="W31" s="58">
        <f>W2-W14</f>
        <v>127168726.63990396</v>
      </c>
      <c r="X31" s="58">
        <f>X2-X14</f>
        <v>137388681.335536</v>
      </c>
      <c r="Y31" s="58">
        <f>Y2-Y14</f>
        <v>151665530.59656799</v>
      </c>
      <c r="Z31" s="58">
        <f>Z2-Z14</f>
        <v>166697614.95143992</v>
      </c>
    </row>
    <row r="32" spans="1:26">
      <c r="A32" s="4" t="s">
        <v>82</v>
      </c>
      <c r="C32" s="4">
        <f>C31*Hoja1!$C$58</f>
        <v>3756599.9999999986</v>
      </c>
      <c r="D32" s="4">
        <f>D31*Hoja1!$C$58</f>
        <v>5052599.9999999991</v>
      </c>
      <c r="E32" s="4">
        <f>E31*Hoja1!$C$58</f>
        <v>5994599.9999999991</v>
      </c>
      <c r="F32" s="4">
        <f>F31*Hoja1!$C$58</f>
        <v>7296899.9999999991</v>
      </c>
      <c r="G32" s="4">
        <f>G31*Hoja1!$C$58</f>
        <v>9238200</v>
      </c>
      <c r="H32" s="4">
        <f>H31*Hoja1!$C$58</f>
        <v>11416200</v>
      </c>
      <c r="I32" s="4">
        <f>I31*Hoja1!$C$58</f>
        <v>4551195.1800000006</v>
      </c>
      <c r="J32" s="4">
        <f>J31*Hoja1!$C$58</f>
        <v>5430739.7700000014</v>
      </c>
      <c r="K32" s="4">
        <f>K31*Hoja1!$C$58</f>
        <v>8756960.370000001</v>
      </c>
      <c r="L32" s="4">
        <f>L31*Hoja1!$C$58</f>
        <v>10328125.560000001</v>
      </c>
      <c r="M32" s="4">
        <f>M31*Hoja1!$C$58</f>
        <v>12350056.199999999</v>
      </c>
      <c r="N32" s="4">
        <f>N31*Hoja1!$C$58</f>
        <v>15811597.140000002</v>
      </c>
      <c r="O32" s="4">
        <f>O31*Hoja1!$C$58</f>
        <v>19039167.0973536</v>
      </c>
      <c r="P32" s="4">
        <f>P31*Hoja1!$C$58</f>
        <v>19930837.223359205</v>
      </c>
      <c r="Q32" s="4">
        <f>Q31*Hoja1!$C$58</f>
        <v>23322221.875663187</v>
      </c>
      <c r="R32" s="4">
        <f>R31*Hoja1!$C$58</f>
        <v>25243768.929820795</v>
      </c>
      <c r="S32" s="4">
        <f>S31*Hoja1!$C$58</f>
        <v>26748460.330358379</v>
      </c>
      <c r="T32" s="4">
        <f>T31*Hoja1!$C$58</f>
        <v>30375415.510814399</v>
      </c>
      <c r="U32" s="4">
        <f>U31*Hoja1!$C$58</f>
        <v>32735691.444971994</v>
      </c>
      <c r="V32" s="4">
        <f>V31*Hoja1!$C$58</f>
        <v>35556628.659129605</v>
      </c>
      <c r="W32" s="4">
        <f>W31*Hoja1!$C$58</f>
        <v>38150617.991971187</v>
      </c>
      <c r="X32" s="4">
        <f>X31*Hoja1!$C$58</f>
        <v>41216604.400660798</v>
      </c>
      <c r="Y32" s="4">
        <f>Y31*Hoja1!$C$58</f>
        <v>45499659.178970397</v>
      </c>
      <c r="Z32" s="4">
        <f>Z31*Hoja1!$C$58</f>
        <v>50009284.485431977</v>
      </c>
    </row>
    <row r="33" spans="1:26" s="57" customFormat="1">
      <c r="A33" s="50" t="s">
        <v>67</v>
      </c>
      <c r="B33" s="50">
        <f>-B14</f>
        <v>-519999999.60000002</v>
      </c>
      <c r="C33" s="50">
        <f t="shared" ref="C33:Z33" si="2">C31-C32</f>
        <v>8765399.9999999981</v>
      </c>
      <c r="D33" s="50">
        <f t="shared" si="2"/>
        <v>11789399.999999996</v>
      </c>
      <c r="E33" s="50">
        <f t="shared" si="2"/>
        <v>13987399.999999996</v>
      </c>
      <c r="F33" s="50">
        <f t="shared" si="2"/>
        <v>17026099.999999996</v>
      </c>
      <c r="G33" s="50">
        <f t="shared" si="2"/>
        <v>21555800</v>
      </c>
      <c r="H33" s="50">
        <f t="shared" si="2"/>
        <v>26637800</v>
      </c>
      <c r="I33" s="50">
        <f t="shared" si="2"/>
        <v>10619455.420000002</v>
      </c>
      <c r="J33" s="50">
        <f t="shared" si="2"/>
        <v>12671726.130000005</v>
      </c>
      <c r="K33" s="50">
        <f t="shared" si="2"/>
        <v>20432907.530000005</v>
      </c>
      <c r="L33" s="50">
        <f t="shared" si="2"/>
        <v>24098959.640000001</v>
      </c>
      <c r="M33" s="50">
        <f t="shared" si="2"/>
        <v>28816797.800000001</v>
      </c>
      <c r="N33" s="50">
        <f t="shared" si="2"/>
        <v>36893726.660000011</v>
      </c>
      <c r="O33" s="50">
        <f t="shared" si="2"/>
        <v>44424723.227158405</v>
      </c>
      <c r="P33" s="50">
        <f t="shared" si="2"/>
        <v>46505286.854504816</v>
      </c>
      <c r="Q33" s="50">
        <f t="shared" si="2"/>
        <v>54418517.709880769</v>
      </c>
      <c r="R33" s="50">
        <f t="shared" si="2"/>
        <v>58902127.502915189</v>
      </c>
      <c r="S33" s="50">
        <f t="shared" si="2"/>
        <v>62413074.104169555</v>
      </c>
      <c r="T33" s="50">
        <f t="shared" si="2"/>
        <v>70875969.525233597</v>
      </c>
      <c r="U33" s="50">
        <f t="shared" si="2"/>
        <v>76383280.038267985</v>
      </c>
      <c r="V33" s="50">
        <f t="shared" si="2"/>
        <v>82965466.871302411</v>
      </c>
      <c r="W33" s="50">
        <f t="shared" si="2"/>
        <v>89018108.647932768</v>
      </c>
      <c r="X33" s="50">
        <f t="shared" si="2"/>
        <v>96172076.934875205</v>
      </c>
      <c r="Y33" s="50">
        <f t="shared" si="2"/>
        <v>106165871.41759759</v>
      </c>
      <c r="Z33" s="50">
        <f t="shared" si="2"/>
        <v>116688330.46600795</v>
      </c>
    </row>
    <row r="34" spans="1:26">
      <c r="A34" s="4" t="s">
        <v>70</v>
      </c>
      <c r="B34" s="60">
        <f>NPV($A$36,C33:Z33)</f>
        <v>881769137.04314697</v>
      </c>
      <c r="C34" s="65">
        <f>C33/(1+$A$36)^C1</f>
        <v>8633233.8233976047</v>
      </c>
      <c r="D34" s="65">
        <f>D33/(1+$A$36)^D1</f>
        <v>11436555.218553545</v>
      </c>
      <c r="E34" s="65">
        <f>E33/(1+$A$36)^E1</f>
        <v>13364179.090762697</v>
      </c>
      <c r="F34" s="65">
        <f>F33/(1+$A$36)^F1</f>
        <v>16022203.230402514</v>
      </c>
      <c r="G34" s="65">
        <f>G33/(1+$A$36)^G1</f>
        <v>19978964.070740055</v>
      </c>
      <c r="H34" s="65">
        <f>H33/(1+$A$36)^H1</f>
        <v>24316940.84869406</v>
      </c>
      <c r="I34" s="65">
        <f>I33/(1+$A$36)^I1</f>
        <v>9548048.0234798342</v>
      </c>
      <c r="J34" s="65">
        <f>J33/(1+$A$36)^J1</f>
        <v>11221473.565966368</v>
      </c>
      <c r="K34" s="65">
        <f>K33/(1+$A$36)^K1</f>
        <v>17821573.511397183</v>
      </c>
      <c r="L34" s="65">
        <f>L33/(1+$A$36)^L1</f>
        <v>20702173.08042394</v>
      </c>
      <c r="M34" s="65">
        <f>M33/(1+$A$36)^M1</f>
        <v>24381764.047901925</v>
      </c>
      <c r="N34" s="65">
        <f>N33/(1+$A$36)^N1</f>
        <v>30744943.184645083</v>
      </c>
      <c r="O34" s="65">
        <f>O33/(1+$A$36)^O1</f>
        <v>36462602.573615611</v>
      </c>
      <c r="P34" s="65">
        <f>P33/(1+$A$36)^P1</f>
        <v>37594734.724783465</v>
      </c>
      <c r="Q34" s="65">
        <f>Q33/(1+$A$36)^Q1</f>
        <v>43328451.602123298</v>
      </c>
      <c r="R34" s="65">
        <f>R33/(1+$A$36)^R1</f>
        <v>46191195.947676733</v>
      </c>
      <c r="S34" s="65">
        <f>S33/(1+$A$36)^S1</f>
        <v>48206495.823341817</v>
      </c>
      <c r="T34" s="65">
        <f>T33/(1+$A$36)^T1</f>
        <v>53917626.538271561</v>
      </c>
      <c r="U34" s="65">
        <f>U33/(1+$A$36)^U1</f>
        <v>57231064.177634001</v>
      </c>
      <c r="V34" s="65">
        <f>V33/(1+$A$36)^V1</f>
        <v>61225542.662407205</v>
      </c>
      <c r="W34" s="65">
        <f>W33/(1+$A$36)^W1</f>
        <v>64701657.803828083</v>
      </c>
      <c r="X34" s="65">
        <f>X33/(1+$A$36)^X1</f>
        <v>68847441.393797442</v>
      </c>
      <c r="Y34" s="65">
        <f>Y33/(1+$A$36)^Y1</f>
        <v>74855808.037398264</v>
      </c>
      <c r="Z34" s="65">
        <f>Z33/(1+$A$36)^Z1</f>
        <v>81034464.061904684</v>
      </c>
    </row>
    <row r="35" spans="1:26">
      <c r="B35" s="45"/>
    </row>
    <row r="36" spans="1:26" hidden="1">
      <c r="A36" s="61">
        <v>1.5309E-2</v>
      </c>
    </row>
    <row r="37" spans="1:26" hidden="1">
      <c r="A37" s="64">
        <v>1.5309E-2</v>
      </c>
    </row>
    <row r="38" spans="1:26">
      <c r="B38" s="6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D22" sqref="D22"/>
    </sheetView>
  </sheetViews>
  <sheetFormatPr baseColWidth="10" defaultRowHeight="15" x14ac:dyDescent="0"/>
  <cols>
    <col min="2" max="2" width="32.5" customWidth="1"/>
    <col min="3" max="3" width="13.6640625" bestFit="1" customWidth="1"/>
  </cols>
  <sheetData>
    <row r="1" spans="2:3" ht="16" thickBot="1"/>
    <row r="2" spans="2:3" ht="17" thickTop="1" thickBot="1">
      <c r="B2" s="66" t="s">
        <v>83</v>
      </c>
      <c r="C2" s="67"/>
    </row>
    <row r="3" spans="2:3" ht="16" thickBot="1">
      <c r="B3" s="68" t="s">
        <v>61</v>
      </c>
      <c r="C3" s="69">
        <v>95000000</v>
      </c>
    </row>
    <row r="4" spans="2:3" ht="16" thickBot="1">
      <c r="B4" s="68" t="s">
        <v>75</v>
      </c>
      <c r="C4" s="69">
        <v>15000000</v>
      </c>
    </row>
    <row r="5" spans="2:3" ht="16" thickBot="1">
      <c r="B5" s="68" t="s">
        <v>65</v>
      </c>
      <c r="C5" s="69">
        <v>4000000</v>
      </c>
    </row>
    <row r="6" spans="2:3" ht="31" thickBot="1">
      <c r="B6" s="68" t="s">
        <v>76</v>
      </c>
      <c r="C6" s="69">
        <v>48717120</v>
      </c>
    </row>
    <row r="7" spans="2:3" ht="31" thickBot="1">
      <c r="B7" s="68" t="s">
        <v>80</v>
      </c>
      <c r="C7" s="69">
        <v>97440000</v>
      </c>
    </row>
    <row r="8" spans="2:3" ht="16" thickBot="1">
      <c r="B8" s="68" t="s">
        <v>79</v>
      </c>
      <c r="C8" s="69">
        <v>97440000</v>
      </c>
    </row>
    <row r="9" spans="2:3" ht="16" thickBot="1">
      <c r="B9" s="68" t="s">
        <v>81</v>
      </c>
      <c r="C9" s="69">
        <v>6215017</v>
      </c>
    </row>
    <row r="10" spans="2:3" ht="16" thickBot="1">
      <c r="B10" s="68" t="s">
        <v>78</v>
      </c>
      <c r="C10" s="69">
        <v>156187862.59999999</v>
      </c>
    </row>
    <row r="11" spans="2:3" ht="16" thickBot="1">
      <c r="B11" s="70" t="s">
        <v>23</v>
      </c>
      <c r="C11" s="71">
        <f>SUM(C3:C10)</f>
        <v>519999999.60000002</v>
      </c>
    </row>
    <row r="12" spans="2:3" ht="16" thickTop="1"/>
  </sheetData>
  <mergeCells count="1">
    <mergeCell ref="B2:C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I23" sqref="I23"/>
    </sheetView>
  </sheetViews>
  <sheetFormatPr baseColWidth="10" defaultRowHeight="15" x14ac:dyDescent="0"/>
  <cols>
    <col min="1" max="1" width="10.83203125" style="2"/>
    <col min="2" max="2" width="63.33203125" style="2" bestFit="1" customWidth="1"/>
    <col min="3" max="5" width="16.5" style="2" bestFit="1" customWidth="1"/>
    <col min="6" max="16384" width="10.83203125" style="2"/>
  </cols>
  <sheetData>
    <row r="1" spans="2:12" ht="16" thickBot="1"/>
    <row r="2" spans="2:12" ht="17" thickTop="1" thickBot="1">
      <c r="B2" s="72"/>
      <c r="C2" s="79" t="s">
        <v>84</v>
      </c>
      <c r="D2" s="79" t="s">
        <v>19</v>
      </c>
      <c r="E2" s="80" t="s">
        <v>20</v>
      </c>
    </row>
    <row r="3" spans="2:12" ht="16" thickBot="1">
      <c r="B3" s="81" t="s">
        <v>57</v>
      </c>
      <c r="C3" s="82">
        <f>SUM(C4:C13)</f>
        <v>520000000</v>
      </c>
      <c r="D3" s="82">
        <f>SUM(D4:D13)</f>
        <v>1023120000</v>
      </c>
      <c r="E3" s="83">
        <f>SUM(E4:E13)</f>
        <v>4173323140.3199997</v>
      </c>
      <c r="F3" s="4"/>
      <c r="G3" s="4"/>
      <c r="H3" s="4"/>
      <c r="I3" s="4"/>
      <c r="J3" s="4"/>
      <c r="K3" s="4"/>
      <c r="L3" s="4"/>
    </row>
    <row r="4" spans="2:12" ht="16" thickBot="1">
      <c r="B4" s="84" t="s">
        <v>60</v>
      </c>
      <c r="C4" s="85">
        <f>'Flujo de Caja'!B3</f>
        <v>520000000</v>
      </c>
      <c r="D4" s="85">
        <v>0</v>
      </c>
      <c r="E4" s="86">
        <f>SUM('Flujo de Caja'!O3:Z3)</f>
        <v>0</v>
      </c>
      <c r="F4" s="4"/>
      <c r="G4" s="4"/>
      <c r="H4" s="4"/>
      <c r="I4" s="4"/>
      <c r="J4" s="4"/>
      <c r="K4" s="4"/>
      <c r="L4" s="4"/>
    </row>
    <row r="5" spans="2:12" ht="16" thickBot="1">
      <c r="B5" s="84" t="s">
        <v>4</v>
      </c>
      <c r="C5" s="85">
        <v>0</v>
      </c>
      <c r="D5" s="85">
        <f>SUM('Flujo de Caja'!C4:N4)</f>
        <v>280500000</v>
      </c>
      <c r="E5" s="86">
        <f>SUM('Flujo de Caja'!O4:Z4)</f>
        <v>1113815219.9999998</v>
      </c>
      <c r="F5" s="4"/>
      <c r="G5" s="4"/>
      <c r="H5" s="4"/>
      <c r="I5" s="4"/>
      <c r="J5" s="4"/>
      <c r="K5" s="4"/>
      <c r="L5" s="4"/>
    </row>
    <row r="6" spans="2:12" ht="16" thickBot="1">
      <c r="B6" s="84" t="s">
        <v>5</v>
      </c>
      <c r="C6" s="85">
        <v>0</v>
      </c>
      <c r="D6" s="85">
        <f>SUM('Flujo de Caja'!C5:N5)</f>
        <v>59840000</v>
      </c>
      <c r="E6" s="86">
        <f>SUM('Flujo de Caja'!O5:Z5)</f>
        <v>237613913.59999996</v>
      </c>
      <c r="F6" s="4"/>
      <c r="G6" s="4"/>
      <c r="H6" s="4"/>
      <c r="I6" s="4"/>
      <c r="J6" s="4"/>
      <c r="K6" s="4"/>
      <c r="L6" s="4"/>
    </row>
    <row r="7" spans="2:12" ht="16" thickBot="1">
      <c r="B7" s="84" t="s">
        <v>6</v>
      </c>
      <c r="C7" s="85">
        <v>0</v>
      </c>
      <c r="D7" s="85">
        <f>SUM('Flujo de Caja'!C6:N6)</f>
        <v>23980000</v>
      </c>
      <c r="E7" s="86">
        <f>SUM('Flujo de Caja'!O6:Z6)</f>
        <v>96973500.799999997</v>
      </c>
      <c r="F7" s="4"/>
      <c r="G7" s="4"/>
      <c r="H7" s="4"/>
      <c r="I7" s="4"/>
      <c r="J7" s="4"/>
      <c r="K7" s="4"/>
      <c r="L7" s="4"/>
    </row>
    <row r="8" spans="2:12" ht="16" thickBot="1">
      <c r="B8" s="84" t="s">
        <v>7</v>
      </c>
      <c r="C8" s="85">
        <v>0</v>
      </c>
      <c r="D8" s="85">
        <f>SUM('Flujo de Caja'!C7:N7)</f>
        <v>416000000</v>
      </c>
      <c r="E8" s="86">
        <f>SUM('Flujo de Caja'!O7:Z7)</f>
        <v>1738437439.9999998</v>
      </c>
      <c r="F8" s="4"/>
      <c r="G8" s="4"/>
      <c r="H8" s="4"/>
      <c r="I8" s="4"/>
      <c r="J8" s="4"/>
      <c r="K8" s="4"/>
      <c r="L8" s="4"/>
    </row>
    <row r="9" spans="2:12" ht="16" thickBot="1">
      <c r="B9" s="84" t="s">
        <v>8</v>
      </c>
      <c r="C9" s="85">
        <v>0</v>
      </c>
      <c r="D9" s="85">
        <f>SUM('Flujo de Caja'!C8:N8)</f>
        <v>118300000</v>
      </c>
      <c r="E9" s="86">
        <f>SUM('Flujo de Caja'!O8:Z8)</f>
        <v>480644995.99999994</v>
      </c>
      <c r="F9" s="4"/>
      <c r="G9" s="4"/>
      <c r="H9" s="4"/>
      <c r="I9" s="4"/>
      <c r="J9" s="4"/>
      <c r="K9" s="4"/>
      <c r="L9" s="4"/>
    </row>
    <row r="10" spans="2:12" ht="16" thickBot="1">
      <c r="B10" s="84" t="s">
        <v>9</v>
      </c>
      <c r="C10" s="85">
        <v>0</v>
      </c>
      <c r="D10" s="85">
        <f>SUM('Flujo de Caja'!C9:N9)</f>
        <v>990000.00000000012</v>
      </c>
      <c r="E10" s="86">
        <f>SUM('Flujo de Caja'!O9:Z9)</f>
        <v>4200000.0000000009</v>
      </c>
      <c r="F10" s="4"/>
      <c r="G10" s="4"/>
      <c r="H10" s="4"/>
      <c r="I10" s="4"/>
      <c r="J10" s="4"/>
      <c r="K10" s="4"/>
      <c r="L10" s="4"/>
    </row>
    <row r="11" spans="2:12" ht="16" thickBot="1">
      <c r="B11" s="84" t="s">
        <v>10</v>
      </c>
      <c r="C11" s="85">
        <v>0</v>
      </c>
      <c r="D11" s="85">
        <f>SUM('Flujo de Caja'!C10:N10)</f>
        <v>1470000</v>
      </c>
      <c r="E11" s="86">
        <f>SUM('Flujo de Caja'!O10:Z10)</f>
        <v>6142204.3200000003</v>
      </c>
      <c r="F11" s="4"/>
      <c r="G11" s="4"/>
      <c r="H11" s="4"/>
      <c r="I11" s="4"/>
      <c r="J11" s="4"/>
      <c r="K11" s="4"/>
      <c r="L11" s="4"/>
    </row>
    <row r="12" spans="2:12" ht="16" thickBot="1">
      <c r="B12" s="84" t="s">
        <v>11</v>
      </c>
      <c r="C12" s="85">
        <v>0</v>
      </c>
      <c r="D12" s="85">
        <f>SUM('Flujo de Caja'!C11:N11)</f>
        <v>118300000</v>
      </c>
      <c r="E12" s="86">
        <f>SUM('Flujo de Caja'!O11:Z11)</f>
        <v>480644995.99999994</v>
      </c>
      <c r="F12" s="4"/>
      <c r="G12" s="4"/>
      <c r="H12" s="4"/>
      <c r="I12" s="4"/>
      <c r="J12" s="4"/>
      <c r="K12" s="4"/>
      <c r="L12" s="4"/>
    </row>
    <row r="13" spans="2:12" ht="16" thickBot="1">
      <c r="B13" s="84" t="s">
        <v>58</v>
      </c>
      <c r="C13" s="85">
        <v>0</v>
      </c>
      <c r="D13" s="85">
        <f>SUM('Flujo de Caja'!C12:N12)</f>
        <v>3740000</v>
      </c>
      <c r="E13" s="86">
        <f>SUM('Flujo de Caja'!O12:Z12)</f>
        <v>14850869.599999998</v>
      </c>
      <c r="F13" s="4"/>
      <c r="G13" s="4"/>
      <c r="H13" s="4"/>
      <c r="I13" s="4"/>
      <c r="J13" s="4"/>
      <c r="K13" s="4"/>
      <c r="L13" s="4"/>
    </row>
    <row r="14" spans="2:12" ht="16" thickBot="1">
      <c r="B14" s="73"/>
      <c r="C14" s="74"/>
      <c r="D14" s="74"/>
      <c r="E14" s="75"/>
      <c r="F14" s="4"/>
      <c r="G14" s="4"/>
      <c r="H14" s="4"/>
      <c r="I14" s="4"/>
      <c r="J14" s="4"/>
      <c r="K14" s="4"/>
      <c r="L14" s="4"/>
    </row>
    <row r="15" spans="2:12" ht="16" thickBot="1">
      <c r="B15" s="87" t="s">
        <v>59</v>
      </c>
      <c r="C15" s="88"/>
      <c r="D15" s="88">
        <f>SUM(D16:D23)</f>
        <v>689840752.5999999</v>
      </c>
      <c r="E15" s="89">
        <f>SUM(E16:E23)</f>
        <v>2880561949.8916473</v>
      </c>
      <c r="F15" s="4"/>
      <c r="G15" s="4"/>
      <c r="H15" s="4"/>
      <c r="I15" s="4"/>
      <c r="J15" s="4"/>
      <c r="K15" s="4"/>
      <c r="L15" s="4"/>
    </row>
    <row r="16" spans="2:12" ht="16" thickBot="1">
      <c r="B16" s="90" t="s">
        <v>65</v>
      </c>
      <c r="C16" s="91"/>
      <c r="D16" s="91">
        <f>SUM('Flujo de Caja'!C17:N17)</f>
        <v>5000000</v>
      </c>
      <c r="E16" s="92">
        <f>SUM('Flujo de Caja'!O17:Z17)</f>
        <v>9000000</v>
      </c>
      <c r="F16" s="4"/>
      <c r="G16" s="4"/>
      <c r="H16" s="4"/>
      <c r="I16" s="4"/>
      <c r="J16" s="4"/>
      <c r="K16" s="4"/>
      <c r="L16" s="4"/>
    </row>
    <row r="17" spans="2:12" ht="16" thickBot="1">
      <c r="B17" s="90" t="s">
        <v>73</v>
      </c>
      <c r="C17" s="91"/>
      <c r="D17" s="91">
        <f>SUM('Flujo de Caja'!C18:N18)</f>
        <v>8060000</v>
      </c>
      <c r="E17" s="92">
        <f>SUM('Flujo de Caja'!O18:Z18)</f>
        <v>31460000</v>
      </c>
      <c r="F17" s="4"/>
      <c r="G17" s="4"/>
      <c r="H17" s="4"/>
      <c r="I17" s="4"/>
      <c r="J17" s="4"/>
      <c r="K17" s="4"/>
      <c r="L17" s="4"/>
    </row>
    <row r="18" spans="2:12" ht="16" thickBot="1">
      <c r="B18" s="90" t="s">
        <v>74</v>
      </c>
      <c r="C18" s="91"/>
      <c r="D18" s="91">
        <f>SUM('Flujo de Caja'!C19:N19)</f>
        <v>1800000</v>
      </c>
      <c r="E18" s="92">
        <f>SUM('Flujo de Caja'!O19:Z19)</f>
        <v>1853784</v>
      </c>
      <c r="F18" s="4"/>
      <c r="G18" s="4"/>
      <c r="H18" s="4"/>
      <c r="I18" s="4"/>
      <c r="J18" s="4"/>
      <c r="K18" s="4"/>
      <c r="L18" s="4"/>
    </row>
    <row r="19" spans="2:12" ht="16" thickBot="1">
      <c r="B19" s="90" t="s">
        <v>64</v>
      </c>
      <c r="C19" s="91"/>
      <c r="D19" s="91">
        <f>SUM('Flujo de Caja'!C21:N21)</f>
        <v>22440000</v>
      </c>
      <c r="E19" s="92">
        <f>SUM('Flujo de Caja'!O21:Z21)</f>
        <v>89105217.599999994</v>
      </c>
      <c r="F19" s="4"/>
      <c r="G19" s="4"/>
      <c r="H19" s="4"/>
      <c r="I19" s="4"/>
      <c r="J19" s="4"/>
      <c r="K19" s="4"/>
      <c r="L19" s="4"/>
    </row>
    <row r="20" spans="2:12" ht="16" thickBot="1">
      <c r="B20" s="90" t="s">
        <v>77</v>
      </c>
      <c r="C20" s="91"/>
      <c r="D20" s="91">
        <f>SUM('Flujo de Caja'!C24:N24)</f>
        <v>9600000</v>
      </c>
      <c r="E20" s="92">
        <f>SUM('Flujo de Caja'!O24:Z24)</f>
        <v>9600000</v>
      </c>
      <c r="F20" s="4"/>
      <c r="G20" s="4"/>
      <c r="H20" s="4"/>
      <c r="I20" s="4"/>
      <c r="J20" s="4"/>
      <c r="K20" s="4"/>
      <c r="L20" s="4"/>
    </row>
    <row r="21" spans="2:12" ht="16" thickBot="1">
      <c r="B21" s="90" t="s">
        <v>71</v>
      </c>
      <c r="C21" s="91"/>
      <c r="D21" s="91">
        <f>SUM('Flujo de Caja'!C25:N25)</f>
        <v>353600000</v>
      </c>
      <c r="E21" s="92">
        <f>SUM('Flujo de Caja'!O25:Z25)</f>
        <v>1477671823.9999998</v>
      </c>
      <c r="F21" s="4"/>
      <c r="G21" s="4"/>
      <c r="H21" s="4"/>
      <c r="I21" s="4"/>
      <c r="J21" s="4"/>
      <c r="K21" s="4"/>
      <c r="L21" s="4"/>
    </row>
    <row r="22" spans="2:12" ht="16" thickBot="1">
      <c r="B22" s="90" t="s">
        <v>81</v>
      </c>
      <c r="C22" s="91"/>
      <c r="D22" s="91">
        <f>SUM('Flujo de Caja'!C26:N26)</f>
        <v>24000000</v>
      </c>
      <c r="E22" s="92">
        <f>SUM('Flujo de Caja'!O26:Z26)</f>
        <v>24000000</v>
      </c>
      <c r="F22" s="4"/>
      <c r="G22" s="4"/>
      <c r="H22" s="4"/>
      <c r="I22" s="4"/>
      <c r="J22" s="4"/>
      <c r="K22" s="4"/>
      <c r="L22" s="4"/>
    </row>
    <row r="23" spans="2:12" ht="16" thickBot="1">
      <c r="B23" s="90" t="s">
        <v>66</v>
      </c>
      <c r="C23" s="91"/>
      <c r="D23" s="91">
        <f>SUM('Flujo de Caja'!I27:N27)</f>
        <v>265340752.59999996</v>
      </c>
      <c r="E23" s="92">
        <f>SUM('Flujo de Caja'!O27:Z27)</f>
        <v>1237871124.2916479</v>
      </c>
      <c r="F23" s="4"/>
      <c r="G23" s="4"/>
      <c r="H23" s="4"/>
      <c r="I23" s="4"/>
      <c r="J23" s="4"/>
      <c r="K23" s="4"/>
      <c r="L23" s="4"/>
    </row>
    <row r="24" spans="2:12" ht="16" thickBot="1">
      <c r="B24" s="76"/>
      <c r="C24" s="77"/>
      <c r="D24" s="77"/>
      <c r="E24" s="78"/>
      <c r="F24" s="4"/>
      <c r="G24" s="4"/>
      <c r="H24" s="4"/>
      <c r="I24" s="4"/>
      <c r="J24" s="4"/>
      <c r="K24" s="4"/>
      <c r="L24" s="4"/>
    </row>
    <row r="25" spans="2:12" ht="16" thickBot="1">
      <c r="B25" s="93" t="s">
        <v>68</v>
      </c>
      <c r="C25" s="94"/>
      <c r="D25" s="94">
        <f>D3-D15</f>
        <v>333279247.4000001</v>
      </c>
      <c r="E25" s="95">
        <f>E3-E15</f>
        <v>1292761190.4283524</v>
      </c>
      <c r="F25" s="4"/>
      <c r="G25" s="4"/>
      <c r="H25" s="4"/>
      <c r="I25" s="4"/>
      <c r="J25" s="4"/>
      <c r="K25" s="4"/>
      <c r="L25" s="4"/>
    </row>
    <row r="26" spans="2:12" ht="16" thickBot="1">
      <c r="B26" s="96" t="s">
        <v>85</v>
      </c>
      <c r="C26" s="97"/>
      <c r="D26" s="98">
        <f>D25*0.3</f>
        <v>99983774.220000029</v>
      </c>
      <c r="E26" s="99">
        <f>E25*0.3</f>
        <v>387828357.12850571</v>
      </c>
      <c r="F26" s="4"/>
      <c r="G26" s="4"/>
      <c r="H26" s="4"/>
      <c r="I26" s="4"/>
      <c r="J26" s="4"/>
      <c r="K26" s="4"/>
      <c r="L26" s="4"/>
    </row>
    <row r="27" spans="2:12" ht="16" thickBot="1">
      <c r="B27" s="104" t="s">
        <v>67</v>
      </c>
      <c r="C27" s="105"/>
      <c r="D27" s="106">
        <f>D25-D26</f>
        <v>233295473.18000007</v>
      </c>
      <c r="E27" s="107">
        <f>E25-E26</f>
        <v>904932833.29984665</v>
      </c>
    </row>
    <row r="28" spans="2:12" ht="16" thickBot="1">
      <c r="B28" s="100" t="s">
        <v>70</v>
      </c>
      <c r="C28" s="101">
        <f>NPV(0.2,D27:E27)</f>
        <v>822838472.99711585</v>
      </c>
      <c r="D28" s="102">
        <f>D27/(1.2)</f>
        <v>194412894.31666672</v>
      </c>
      <c r="E28" s="103">
        <f>E27/(1.2)^2</f>
        <v>628425578.68044913</v>
      </c>
    </row>
    <row r="29" spans="2:12" ht="16" thickTop="1"/>
  </sheetData>
  <mergeCells count="2">
    <mergeCell ref="B14:E14"/>
    <mergeCell ref="B24:E24"/>
  </mergeCells>
  <pageMargins left="0.75" right="0.75" top="1" bottom="1" header="0.5" footer="0.5"/>
  <pageSetup orientation="portrait" horizontalDpi="4294967292" verticalDpi="4294967292"/>
  <ignoredErrors>
    <ignoredError sqref="D16:D18 E4 E16:E18 D20:D22 E20:E23 D19 E19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Flujo de Caja</vt:lpstr>
      <vt:lpstr>Hoja4</vt:lpstr>
      <vt:lpstr>Hoja5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Tabares</dc:creator>
  <cp:lastModifiedBy>Jorge Tabares</cp:lastModifiedBy>
  <dcterms:created xsi:type="dcterms:W3CDTF">2015-03-11T12:46:19Z</dcterms:created>
  <dcterms:modified xsi:type="dcterms:W3CDTF">2015-03-11T19:47:30Z</dcterms:modified>
</cp:coreProperties>
</file>